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l365-my.sharepoint.com/personal/amks_kl_dk/Documents/Desktop/"/>
    </mc:Choice>
  </mc:AlternateContent>
  <xr:revisionPtr revIDLastSave="0" documentId="8_{AA92ACB2-086E-453D-9BCD-6A08ECFDAB58}" xr6:coauthVersionLast="47" xr6:coauthVersionMax="47" xr10:uidLastSave="{00000000-0000-0000-0000-000000000000}"/>
  <bookViews>
    <workbookView xWindow="-120" yWindow="-120" windowWidth="29040" windowHeight="15720" activeTab="2" xr2:uid="{A2D9E3FE-1D88-4A8F-8A25-E53CC7B85C9E}"/>
  </bookViews>
  <sheets>
    <sheet name="Likviditet" sheetId="2" r:id="rId1"/>
    <sheet name="Ark1" sheetId="3" r:id="rId2"/>
    <sheet name="Grundark" sheetId="1" r:id="rId3"/>
  </sheets>
  <definedNames>
    <definedName name="_xlnm._FilterDatabase" localSheetId="0" hidden="1">Likviditet!$A$1:$E$510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3" l="1"/>
  <c r="D61" i="3"/>
  <c r="E61" i="3"/>
  <c r="F61" i="3"/>
  <c r="B61" i="3"/>
  <c r="F55" i="3"/>
  <c r="B51" i="3"/>
  <c r="F58" i="3" s="1"/>
  <c r="B50" i="3"/>
  <c r="F57" i="3" s="1"/>
  <c r="E41" i="3"/>
  <c r="B37" i="3"/>
  <c r="B36" i="3"/>
  <c r="F43" i="3" s="1"/>
  <c r="F28" i="3"/>
  <c r="E28" i="3"/>
  <c r="C28" i="3"/>
  <c r="F27" i="3"/>
  <c r="E27" i="3"/>
  <c r="D27" i="3"/>
  <c r="C27" i="3"/>
  <c r="F30" i="3"/>
  <c r="E30" i="3"/>
  <c r="E29" i="3"/>
  <c r="D29" i="3"/>
  <c r="D30" i="3"/>
  <c r="D28" i="3"/>
  <c r="C31" i="3"/>
  <c r="B23" i="3"/>
  <c r="B22" i="3"/>
  <c r="B5" i="3"/>
  <c r="B4" i="3"/>
  <c r="C9" i="3" s="1"/>
  <c r="E56" i="3" l="1"/>
  <c r="F56" i="3" s="1"/>
  <c r="F59" i="3" s="1"/>
  <c r="E55" i="3"/>
  <c r="E59" i="3" s="1"/>
  <c r="D41" i="3"/>
  <c r="D42" i="3"/>
  <c r="E42" i="3" s="1"/>
  <c r="E45" i="3" s="1"/>
  <c r="E43" i="3"/>
  <c r="F44" i="3"/>
  <c r="E44" i="3"/>
  <c r="F42" i="3" s="1"/>
  <c r="E31" i="3"/>
  <c r="F29" i="3"/>
  <c r="C11" i="3"/>
  <c r="D11" i="3"/>
  <c r="E11" i="3" s="1"/>
  <c r="D31" i="3"/>
  <c r="F31" i="3"/>
  <c r="F11" i="3"/>
  <c r="B10" i="3"/>
  <c r="C10" i="3" s="1"/>
  <c r="C12" i="3"/>
  <c r="D10" i="3" s="1"/>
  <c r="D12" i="3"/>
  <c r="F12" i="3"/>
  <c r="B9" i="3"/>
  <c r="E9" i="3"/>
  <c r="E12" i="3"/>
  <c r="D9" i="3"/>
  <c r="E10" i="3"/>
  <c r="F10" i="3"/>
  <c r="D45" i="3" l="1"/>
  <c r="F41" i="3"/>
  <c r="F45" i="3" s="1"/>
  <c r="E13" i="3"/>
  <c r="D13" i="3"/>
  <c r="F9" i="3"/>
  <c r="F13" i="3" s="1"/>
  <c r="B13" i="3"/>
  <c r="C13" i="3"/>
  <c r="D309" i="2" l="1"/>
  <c r="D308" i="2"/>
  <c r="D264" i="2"/>
  <c r="D249" i="2"/>
  <c r="D279" i="2"/>
  <c r="D248" i="2"/>
  <c r="D179" i="2"/>
  <c r="D219" i="2"/>
  <c r="D204" i="2"/>
  <c r="D202" i="2"/>
  <c r="D307" i="2"/>
  <c r="D306" i="2"/>
  <c r="D263" i="2"/>
  <c r="D247" i="2"/>
  <c r="D278" i="2"/>
  <c r="D246" i="2"/>
  <c r="D200" i="2"/>
  <c r="D178" i="2"/>
  <c r="D218" i="2"/>
  <c r="D199" i="2"/>
  <c r="D183" i="2"/>
  <c r="D305" i="2"/>
  <c r="D304" i="2"/>
  <c r="D262" i="2"/>
  <c r="D245" i="2"/>
  <c r="D277" i="2"/>
  <c r="D244" i="2"/>
  <c r="D198" i="2"/>
  <c r="D177" i="2"/>
  <c r="D217" i="2"/>
  <c r="D176" i="2"/>
  <c r="D103" i="2"/>
  <c r="D149" i="2"/>
  <c r="D136" i="2"/>
  <c r="D133" i="2"/>
  <c r="D303" i="2"/>
  <c r="D302" i="2"/>
  <c r="D261" i="2"/>
  <c r="D243" i="2"/>
  <c r="D276" i="2"/>
  <c r="D242" i="2"/>
  <c r="D197" i="2"/>
  <c r="D175" i="2"/>
  <c r="D216" i="2"/>
  <c r="D174" i="2"/>
  <c r="D129" i="2"/>
  <c r="D102" i="2"/>
  <c r="D148" i="2"/>
  <c r="D134" i="2"/>
  <c r="D114" i="2"/>
  <c r="D301" i="2"/>
  <c r="D300" i="2"/>
  <c r="D260" i="2"/>
  <c r="D241" i="2"/>
  <c r="D275" i="2"/>
  <c r="D240" i="2"/>
  <c r="D196" i="2"/>
  <c r="D173" i="2"/>
  <c r="D215" i="2"/>
  <c r="D172" i="2"/>
  <c r="D128" i="2"/>
  <c r="D101" i="2"/>
  <c r="D147" i="2"/>
  <c r="D131" i="2"/>
  <c r="D111" i="2"/>
  <c r="D299" i="2"/>
  <c r="D298" i="2"/>
  <c r="D259" i="2"/>
  <c r="D239" i="2"/>
  <c r="D274" i="2"/>
  <c r="D238" i="2"/>
  <c r="D195" i="2"/>
  <c r="D171" i="2"/>
  <c r="D214" i="2"/>
  <c r="D170" i="2"/>
  <c r="D126" i="2"/>
  <c r="D100" i="2"/>
  <c r="D146" i="2"/>
  <c r="D125" i="2"/>
  <c r="D108" i="2"/>
  <c r="D297" i="2"/>
  <c r="D296" i="2"/>
  <c r="D258" i="2"/>
  <c r="D237" i="2"/>
  <c r="D273" i="2"/>
  <c r="D236" i="2"/>
  <c r="D194" i="2"/>
  <c r="D169" i="2"/>
  <c r="D213" i="2"/>
  <c r="D168" i="2"/>
  <c r="D124" i="2"/>
  <c r="D99" i="2"/>
  <c r="D145" i="2"/>
  <c r="D98" i="2"/>
  <c r="D70" i="2"/>
  <c r="D295" i="2"/>
  <c r="D294" i="2"/>
  <c r="D257" i="2"/>
  <c r="D235" i="2"/>
  <c r="D272" i="2"/>
  <c r="D234" i="2"/>
  <c r="D193" i="2"/>
  <c r="D167" i="2"/>
  <c r="D212" i="2"/>
  <c r="D166" i="2"/>
  <c r="D123" i="2"/>
  <c r="D97" i="2"/>
  <c r="D144" i="2"/>
  <c r="D96" i="2"/>
  <c r="D41" i="2"/>
  <c r="D80" i="2"/>
  <c r="D71" i="2"/>
  <c r="D65" i="2"/>
  <c r="D293" i="2"/>
  <c r="D292" i="2"/>
  <c r="D256" i="2"/>
  <c r="D233" i="2"/>
  <c r="D271" i="2"/>
  <c r="D232" i="2"/>
  <c r="D192" i="2"/>
  <c r="D165" i="2"/>
  <c r="D211" i="2"/>
  <c r="D164" i="2"/>
  <c r="D122" i="2"/>
  <c r="D95" i="2"/>
  <c r="D143" i="2"/>
  <c r="D94" i="2"/>
  <c r="D40" i="2"/>
  <c r="D79" i="2"/>
  <c r="D67" i="2"/>
  <c r="D53" i="2"/>
  <c r="D291" i="2"/>
  <c r="D290" i="2"/>
  <c r="D255" i="2"/>
  <c r="D231" i="2"/>
  <c r="D270" i="2"/>
  <c r="D230" i="2"/>
  <c r="D191" i="2"/>
  <c r="D163" i="2"/>
  <c r="D210" i="2"/>
  <c r="D162" i="2"/>
  <c r="D121" i="2"/>
  <c r="D93" i="2"/>
  <c r="D142" i="2"/>
  <c r="D92" i="2"/>
  <c r="D39" i="2"/>
  <c r="D78" i="2"/>
  <c r="D63" i="2"/>
  <c r="D50" i="2"/>
  <c r="D289" i="2"/>
  <c r="D288" i="2"/>
  <c r="D254" i="2"/>
  <c r="D229" i="2"/>
  <c r="D269" i="2"/>
  <c r="D228" i="2"/>
  <c r="D190" i="2"/>
  <c r="D161" i="2"/>
  <c r="D209" i="2"/>
  <c r="D160" i="2"/>
  <c r="D120" i="2"/>
  <c r="D91" i="2"/>
  <c r="D141" i="2"/>
  <c r="D90" i="2"/>
  <c r="D60" i="2"/>
  <c r="D38" i="2"/>
  <c r="D77" i="2"/>
  <c r="D59" i="2"/>
  <c r="D47" i="2"/>
  <c r="D287" i="2"/>
  <c r="D286" i="2"/>
  <c r="D253" i="2"/>
  <c r="D227" i="2"/>
  <c r="D268" i="2"/>
  <c r="D226" i="2"/>
  <c r="D189" i="2"/>
  <c r="D159" i="2"/>
  <c r="D208" i="2"/>
  <c r="D158" i="2"/>
  <c r="D119" i="2"/>
  <c r="D89" i="2"/>
  <c r="D140" i="2"/>
  <c r="D88" i="2"/>
  <c r="D58" i="2"/>
  <c r="D37" i="2"/>
  <c r="D76" i="2"/>
  <c r="D16" i="2"/>
  <c r="D43" i="2"/>
  <c r="D26" i="2"/>
  <c r="D285" i="2"/>
  <c r="D284" i="2"/>
  <c r="D252" i="2"/>
  <c r="D225" i="2"/>
  <c r="D267" i="2"/>
  <c r="D224" i="2"/>
  <c r="D188" i="2"/>
  <c r="D157" i="2"/>
  <c r="D207" i="2"/>
  <c r="D156" i="2"/>
  <c r="D118" i="2"/>
  <c r="D87" i="2"/>
  <c r="D139" i="2"/>
  <c r="D86" i="2"/>
  <c r="D57" i="2"/>
  <c r="D36" i="2"/>
  <c r="D75" i="2"/>
  <c r="D35" i="2"/>
  <c r="D25" i="2"/>
  <c r="D20" i="2"/>
  <c r="D283" i="2"/>
  <c r="D282" i="2"/>
  <c r="D251" i="2"/>
  <c r="D223" i="2"/>
  <c r="D266" i="2"/>
  <c r="D222" i="2"/>
  <c r="D187" i="2"/>
  <c r="D155" i="2"/>
  <c r="D206" i="2"/>
  <c r="D154" i="2"/>
  <c r="D117" i="2"/>
  <c r="D85" i="2"/>
  <c r="D138" i="2"/>
  <c r="D84" i="2"/>
  <c r="D56" i="2"/>
  <c r="D34" i="2"/>
  <c r="D74" i="2"/>
  <c r="D33" i="2"/>
  <c r="D28" i="2"/>
  <c r="D19" i="2"/>
  <c r="D281" i="2"/>
  <c r="D280" i="2"/>
  <c r="D250" i="2"/>
  <c r="D221" i="2"/>
  <c r="D220" i="2"/>
  <c r="D186" i="2"/>
  <c r="D153" i="2"/>
  <c r="D152" i="2"/>
  <c r="D116" i="2"/>
  <c r="D83" i="2"/>
  <c r="D55" i="2"/>
  <c r="D104" i="2"/>
  <c r="D32" i="2"/>
  <c r="D17" i="2"/>
  <c r="D42" i="2"/>
  <c r="D13" i="2"/>
  <c r="D10" i="2"/>
  <c r="D265" i="2"/>
  <c r="D205" i="2"/>
  <c r="D137" i="2"/>
  <c r="D73" i="2"/>
  <c r="D27" i="2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 s="1"/>
  <c r="E308" i="2" s="1"/>
  <c r="E309" i="2" s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D304" i="1"/>
  <c r="D309" i="1"/>
  <c r="D308" i="1"/>
  <c r="D307" i="1"/>
  <c r="D306" i="1"/>
  <c r="D305" i="1"/>
  <c r="D303" i="1"/>
  <c r="D302" i="1"/>
  <c r="D301" i="1"/>
  <c r="D299" i="1"/>
  <c r="D296" i="1"/>
  <c r="D292" i="1"/>
  <c r="D291" i="1"/>
  <c r="D290" i="1"/>
  <c r="D289" i="1"/>
  <c r="D288" i="1"/>
  <c r="D295" i="1"/>
  <c r="D294" i="1"/>
  <c r="D293" i="1"/>
  <c r="D287" i="1"/>
  <c r="D285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8" i="1"/>
  <c r="D265" i="1"/>
  <c r="D264" i="1"/>
  <c r="D263" i="1"/>
  <c r="D262" i="1"/>
  <c r="D261" i="1"/>
  <c r="D259" i="1"/>
  <c r="D260" i="1"/>
  <c r="D258" i="1"/>
  <c r="D257" i="1"/>
  <c r="D256" i="1"/>
  <c r="D255" i="1"/>
  <c r="D254" i="1"/>
  <c r="D252" i="1"/>
  <c r="D250" i="1"/>
  <c r="D253" i="1"/>
  <c r="D237" i="1"/>
  <c r="D247" i="1"/>
  <c r="D246" i="1"/>
  <c r="D245" i="1"/>
  <c r="D244" i="1"/>
  <c r="D243" i="1"/>
  <c r="D242" i="1"/>
  <c r="D241" i="1"/>
  <c r="D240" i="1"/>
  <c r="D239" i="1"/>
  <c r="D238" i="1"/>
  <c r="D236" i="1"/>
  <c r="D235" i="1"/>
  <c r="D234" i="1"/>
  <c r="D232" i="1"/>
  <c r="D177" i="1"/>
  <c r="D175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4" i="1"/>
  <c r="D198" i="1"/>
  <c r="D196" i="1"/>
  <c r="D211" i="1" l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80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79" i="1"/>
  <c r="D178" i="1"/>
  <c r="D116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4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3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5" i="1"/>
  <c r="D114" i="1"/>
  <c r="D113" i="1"/>
  <c r="D111" i="1"/>
  <c r="D107" i="1"/>
  <c r="D106" i="1"/>
  <c r="D103" i="1"/>
  <c r="D102" i="1"/>
  <c r="D99" i="1"/>
  <c r="D98" i="1"/>
  <c r="D95" i="1"/>
  <c r="D94" i="1"/>
  <c r="D108" i="1"/>
  <c r="D105" i="1"/>
  <c r="D101" i="1"/>
  <c r="D97" i="1"/>
  <c r="D85" i="1"/>
  <c r="D82" i="1"/>
  <c r="D78" i="1"/>
  <c r="D74" i="1"/>
  <c r="D70" i="1"/>
  <c r="D93" i="1"/>
  <c r="D104" i="1"/>
  <c r="D100" i="1"/>
  <c r="D96" i="1"/>
  <c r="D92" i="1"/>
  <c r="D88" i="1"/>
  <c r="D90" i="1"/>
  <c r="D91" i="1"/>
  <c r="D12" i="1"/>
  <c r="D11" i="1"/>
  <c r="D10" i="1"/>
  <c r="D9" i="1"/>
  <c r="D8" i="1"/>
  <c r="D81" i="1" l="1"/>
  <c r="D77" i="1"/>
  <c r="D84" i="1"/>
  <c r="D83" i="1"/>
  <c r="D80" i="1"/>
  <c r="D79" i="1"/>
  <c r="D76" i="1"/>
  <c r="D75" i="1"/>
  <c r="D73" i="1"/>
  <c r="D72" i="1"/>
  <c r="D71" i="1"/>
  <c r="D69" i="1"/>
  <c r="D68" i="1"/>
  <c r="D67" i="1"/>
  <c r="D65" i="1"/>
  <c r="D58" i="1"/>
  <c r="D54" i="1"/>
  <c r="D62" i="1"/>
  <c r="D59" i="1"/>
  <c r="D50" i="1"/>
  <c r="D46" i="1"/>
  <c r="D45" i="1"/>
  <c r="D61" i="1"/>
  <c r="D60" i="1"/>
  <c r="D57" i="1"/>
  <c r="D56" i="1"/>
  <c r="D53" i="1"/>
  <c r="D52" i="1"/>
  <c r="D55" i="1"/>
  <c r="D51" i="1"/>
  <c r="D47" i="1"/>
  <c r="D49" i="1"/>
  <c r="D48" i="1"/>
  <c r="D44" i="1"/>
  <c r="D42" i="1"/>
  <c r="D38" i="1"/>
  <c r="D35" i="1"/>
  <c r="D32" i="1"/>
  <c r="D29" i="1"/>
  <c r="D26" i="1"/>
  <c r="D37" i="1"/>
  <c r="D36" i="1"/>
  <c r="D33" i="1"/>
  <c r="D30" i="1"/>
  <c r="D27" i="1"/>
  <c r="D34" i="1"/>
  <c r="D28" i="1"/>
  <c r="D31" i="1"/>
  <c r="D23" i="1"/>
  <c r="D21" i="1"/>
  <c r="E4" i="1"/>
  <c r="E5" i="1" s="1"/>
  <c r="D25" i="1"/>
  <c r="D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 Normann Johansson</author>
  </authors>
  <commentList>
    <comment ref="B14" authorId="0" shapeId="0" xr:uid="{5C53F6CD-D9C9-44D2-9ACD-FCE985DEBD8B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15" authorId="0" shapeId="0" xr:uid="{7FC06DEB-96BC-4169-81C9-62B46CF08C5B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16" authorId="0" shapeId="0" xr:uid="{39E8F9DA-DE0C-4250-86FA-CE424621D662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20" authorId="0" shapeId="0" xr:uid="{C731C185-AEE4-47DE-AFBE-D9142E085EA2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21" authorId="0" shapeId="0" xr:uid="{4A7725BF-3FD2-4DF0-8ECA-A0834805D2CF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22" authorId="0" shapeId="0" xr:uid="{0D999D1A-983E-4455-AC12-796E9893B95B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23" authorId="0" shapeId="0" xr:uid="{8748D5F5-008B-4461-A490-6078C8D55621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25" authorId="0" shapeId="0" xr:uid="{CB42AF47-413A-41D1-9072-F59C41817982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26" authorId="0" shapeId="0" xr:uid="{1CA131B3-FCF1-4DF4-82E8-466217CB80F3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29" authorId="0" shapeId="0" xr:uid="{124C725B-B8FB-4CB7-A331-D98166B0C7F7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35" authorId="0" shapeId="0" xr:uid="{C6D1F07A-F8CD-428E-8108-9B65C080DFDB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36" authorId="0" shapeId="0" xr:uid="{A1DF6594-A19D-47D4-BA3A-9A3FF2C76C8A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37" authorId="0" shapeId="0" xr:uid="{D616098F-E793-4F26-804B-1050F5400C90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43" authorId="0" shapeId="0" xr:uid="{47F9F9F3-0C77-499A-91A1-D26A8D4E028F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57" authorId="0" shapeId="0" xr:uid="{1DE0F4AE-7014-4A69-80F5-18FEAE314129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58" authorId="0" shapeId="0" xr:uid="{E1C0A754-65EF-4390-8D3F-618935820538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75" authorId="0" shapeId="0" xr:uid="{DADE4318-B333-47CF-9019-68580626E2A5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76" authorId="0" shapeId="0" xr:uid="{632E6CCC-DC33-43FA-B848-7BE0DDC1F93D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86" authorId="0" shapeId="0" xr:uid="{BA7CF50C-9D0F-4BF9-9DB1-676CE2E62318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87" authorId="0" shapeId="0" xr:uid="{A96D10ED-4251-4F54-B902-263EB5C9E153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88" authorId="0" shapeId="0" xr:uid="{7C32A967-4A6B-4043-8F25-FF68F092D8EF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89" authorId="0" shapeId="0" xr:uid="{79EC388E-6080-4DED-ACBA-A11DCC481298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118" authorId="0" shapeId="0" xr:uid="{106160EE-A9B0-47A0-B30E-386723A19AB3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119" authorId="0" shapeId="0" xr:uid="{50164176-11DB-46FA-8042-3DD328FA2714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139" authorId="0" shapeId="0" xr:uid="{1EBCF43E-5C91-404C-A3AE-109DA9B69820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140" authorId="0" shapeId="0" xr:uid="{2789968F-1A56-4DB5-860D-7B8ED5EC743C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156" authorId="0" shapeId="0" xr:uid="{05D45067-E142-40D4-8A05-AABD6E1E40C0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157" authorId="0" shapeId="0" xr:uid="{20CEB1AF-3322-47D3-A873-D0DFC1BF9878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158" authorId="0" shapeId="0" xr:uid="{A5636334-D156-43B2-A43A-E773CF9A4984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159" authorId="0" shapeId="0" xr:uid="{EB7902A1-A998-45F7-9C14-213D247D9634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188" authorId="0" shapeId="0" xr:uid="{8692838D-17EF-4658-9B1B-123D4F09FCC4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189" authorId="0" shapeId="0" xr:uid="{F3B41D7D-D144-48CB-A3E6-B60921F0116A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207" authorId="0" shapeId="0" xr:uid="{74009389-13BD-4473-AB17-B8649134AD2D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208" authorId="0" shapeId="0" xr:uid="{AE97E61C-3EA6-4141-A7D2-6DB1374FCDB4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224" authorId="0" shapeId="0" xr:uid="{98538FF9-BB3B-465C-A2C7-1D4B11795D87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225" authorId="0" shapeId="0" xr:uid="{8AF11A05-54F2-4050-A16D-46FC80CE523F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226" authorId="0" shapeId="0" xr:uid="{A77774DF-2BBC-4D04-B544-1B5D79755FB1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227" authorId="0" shapeId="0" xr:uid="{916C6FF2-9DE6-414B-A7B6-C6B0BF9FFF9C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252" authorId="0" shapeId="0" xr:uid="{4031181D-1069-47D6-9DDE-351720CDDB6C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253" authorId="0" shapeId="0" xr:uid="{D771EBEE-BEF9-4DCF-9E1A-312F5C0664D6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267" authorId="0" shapeId="0" xr:uid="{F494EBF1-FF1D-4748-81FB-2A839865DF73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268" authorId="0" shapeId="0" xr:uid="{8A2E789F-DFD1-4DB8-92AE-940714F517BB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284" authorId="0" shapeId="0" xr:uid="{38DE2C32-9560-4046-8DF4-5A3D3BB27959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285" authorId="0" shapeId="0" xr:uid="{0341D806-CCE6-4924-ADDA-20513DE3867D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286" authorId="0" shapeId="0" xr:uid="{30FCB495-D743-45C4-9008-F87B7BAAD959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287" authorId="0" shapeId="0" xr:uid="{DFDC4583-FA0E-42F7-B334-BDF80ACF149B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 Normann Johansson</author>
  </authors>
  <commentList>
    <comment ref="B63" authorId="0" shapeId="0" xr:uid="{F253DE82-7424-4AC7-BA6B-89E9A4855047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64" authorId="0" shapeId="0" xr:uid="{69DE624B-3457-4B07-B618-D367A1B3A5C4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65" authorId="0" shapeId="0" xr:uid="{B43A9225-F050-492B-A068-E449EB789302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66" authorId="0" shapeId="0" xr:uid="{E5E6964D-D374-4B49-A3DB-EE1BA99BE737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67" authorId="0" shapeId="0" xr:uid="{7E5608F5-C8C8-430C-B4C3-82A2BB4799EE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68" authorId="0" shapeId="0" xr:uid="{D8F4FEE5-A55C-467C-B42A-5A34C42BD465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69" authorId="0" shapeId="0" xr:uid="{A841D8FA-62F8-4C30-8E58-6D67444A0314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70" authorId="0" shapeId="0" xr:uid="{52761113-E8A5-47D1-BC4A-54835DCD6A9D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71" authorId="0" shapeId="0" xr:uid="{19FDBE6C-AB15-4617-893D-29189B82FC5A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72" authorId="0" shapeId="0" xr:uid="{D6A0AD35-E690-4568-B02B-61167F5C86B1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73" authorId="0" shapeId="0" xr:uid="{1ABE530B-815E-41E4-B990-FFA35C596213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74" authorId="0" shapeId="0" xr:uid="{EBECEE3C-7EAA-4B1E-8EB1-216C7DD31CA6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75" authorId="0" shapeId="0" xr:uid="{97124234-A93F-4131-971C-3C0661422719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76" authorId="0" shapeId="0" xr:uid="{6645E295-B897-4C46-9021-6935C8F84927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77" authorId="0" shapeId="0" xr:uid="{ADD66388-F136-448C-B718-8E612198EBBC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78" authorId="0" shapeId="0" xr:uid="{A7436D1B-F13E-4CB2-943D-8E9A6B80117B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79" authorId="0" shapeId="0" xr:uid="{FD8B4F86-8609-4AE2-8ED2-4D615F5610E1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80" authorId="0" shapeId="0" xr:uid="{58164248-06C2-49C0-A447-E9ABECB2AA98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81" authorId="0" shapeId="0" xr:uid="{D921E100-08A2-4174-AC9C-E5DE2CF609C7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82" authorId="0" shapeId="0" xr:uid="{4E2A9266-1FEB-468B-892F-4E645DA6F45C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83" authorId="0" shapeId="0" xr:uid="{F15AE3CC-E8AF-4B94-A858-3F41019432B9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84" authorId="0" shapeId="0" xr:uid="{6E8C0D96-F7A3-4528-9CE3-95A699A8CC12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85" authorId="0" shapeId="0" xr:uid="{86A60C4B-90C0-4DD1-A914-4A27093FE435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Dalgården børnehus, Kirke Værløse børnehus, Sandslottet, Kirke Værløse forsamlingshus, Kirke Værløse Idrætsanlæg</t>
        </r>
      </text>
    </comment>
    <comment ref="B86" authorId="0" shapeId="0" xr:uid="{48861DD8-734A-43AA-992A-993B93247D82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87" authorId="0" shapeId="0" xr:uid="{8592CCA2-EA92-4EE6-9C74-64CCECCE8E3E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88" authorId="0" shapeId="0" xr:uid="{AB183ECD-F23D-4275-8D8F-E9482E795DB9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89" authorId="0" shapeId="0" xr:uid="{F4E49B7A-B43B-4AA4-B8F3-51249BB129B8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90" authorId="0" shapeId="0" xr:uid="{5EBC996D-D2C0-41DE-B6E6-090D7F0CA916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91" authorId="0" shapeId="0" xr:uid="{185CFEFA-D50D-464B-A90E-EF5ACC22FA7D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92" authorId="0" shapeId="0" xr:uid="{F5977ADB-DF27-4DD7-B542-66CEB91DDCA8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93" authorId="0" shapeId="0" xr:uid="{3A809917-81B4-4DA1-AA3F-EBD43BBAE768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94" authorId="0" shapeId="0" xr:uid="{3C10B24F-0CBC-47DF-B221-4F76AB3965A3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95" authorId="0" shapeId="0" xr:uid="{D967B1CF-F470-46FA-AC37-B68DF333F0E8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96" authorId="0" shapeId="0" xr:uid="{F2988816-57D3-47BA-B401-016CFA5094D8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97" authorId="0" shapeId="0" xr:uid="{9245FE1B-F586-4023-AD02-C0B8ED67F5C2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98" authorId="0" shapeId="0" xr:uid="{84183520-D865-4269-84F6-AA87944DAD54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99" authorId="0" shapeId="0" xr:uid="{A8E4E4DB-C95A-4DFD-9D21-9CB7EDDF21FA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100" authorId="0" shapeId="0" xr:uid="{33219A82-2376-405B-8874-5D9D6D6FAFED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101" authorId="0" shapeId="0" xr:uid="{CB0319F4-B095-4F70-B517-7328C3A61C38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102" authorId="0" shapeId="0" xr:uid="{957D42AB-AD40-44CB-B9BA-D8CD63DF4F5A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103" authorId="0" shapeId="0" xr:uid="{8FEC7F66-5666-48E6-8E14-B268CDDC413A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104" authorId="0" shapeId="0" xr:uid="{7FB3E221-7396-48D9-8C92-37E29831399B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105" authorId="0" shapeId="0" xr:uid="{0099767C-BFE5-4CAB-8546-51A6EB8EDF93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106" authorId="0" shapeId="0" xr:uid="{15C06660-0F98-4AF6-A478-BF3FACECD811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107" authorId="0" shapeId="0" xr:uid="{36F8FF55-BE3D-4277-81DB-EA0ED0BFE527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  <comment ref="B108" authorId="0" shapeId="0" xr:uid="{565517E4-9ECB-4E09-A70D-027675D42762}">
      <text>
        <r>
          <rPr>
            <b/>
            <sz val="9"/>
            <color indexed="81"/>
            <rFont val="Tahoma"/>
            <family val="2"/>
          </rPr>
          <t>Christian Normann Johansson:</t>
        </r>
        <r>
          <rPr>
            <sz val="9"/>
            <color indexed="81"/>
            <rFont val="Tahoma"/>
            <family val="2"/>
          </rPr>
          <t xml:space="preserve">
Stavnsholt børnehus, Børnehuset Bøgely, Hareskov børnehus, Paletten, Atlantis og Lillestjernen</t>
        </r>
      </text>
    </comment>
  </commentList>
</comments>
</file>

<file path=xl/sharedStrings.xml><?xml version="1.0" encoding="utf-8"?>
<sst xmlns="http://schemas.openxmlformats.org/spreadsheetml/2006/main" count="1298" uniqueCount="97">
  <si>
    <t>Likviditetsbudget for solcelleselskab</t>
  </si>
  <si>
    <t>Beløb ex. moms
Indtægt/udgift</t>
  </si>
  <si>
    <t>Sum ex. moms.</t>
  </si>
  <si>
    <t>Værløse svømmehal</t>
  </si>
  <si>
    <t>Projekt</t>
  </si>
  <si>
    <t>Specialist honorar</t>
  </si>
  <si>
    <t>rådgiver honorar - forundersøgelser</t>
  </si>
  <si>
    <t>rådgiver honorar - projekt</t>
  </si>
  <si>
    <t>Rådgivning - tilsyn mv</t>
  </si>
  <si>
    <t>Entreprisebetaling 25%</t>
  </si>
  <si>
    <t>Entreprisebetaling 75%</t>
  </si>
  <si>
    <t>Stavnsholtskolen</t>
  </si>
  <si>
    <t>Indskud 2024</t>
  </si>
  <si>
    <t>Indskud 2025</t>
  </si>
  <si>
    <t>Indskud 2026</t>
  </si>
  <si>
    <t>Bygherrerådgivning honorar</t>
  </si>
  <si>
    <t>Rådgiver honorar - projekt</t>
  </si>
  <si>
    <t>Vedligeholdelse 2024</t>
  </si>
  <si>
    <t>Omkostninger selskab</t>
  </si>
  <si>
    <t>Alt til at få selskabet til at fungere - 2023</t>
  </si>
  <si>
    <t>Alt til at få selskabet til at fungere - 2024</t>
  </si>
  <si>
    <t>Alt til at få selskabet til at fungere - 2025</t>
  </si>
  <si>
    <t>Alt til at få selskabet til at fungere - 2026</t>
  </si>
  <si>
    <t>Alt til at få selskabet til at fungere - 2027</t>
  </si>
  <si>
    <t>9,3 mill. kr.</t>
  </si>
  <si>
    <t>Vedligeholdelse 2025</t>
  </si>
  <si>
    <t>Vedligeholdelse 2026</t>
  </si>
  <si>
    <t>Vedligeholdelse 2027</t>
  </si>
  <si>
    <t>Halvårsindtægt Q3-4 - 2023</t>
  </si>
  <si>
    <t>Halvårsindtægt Q1-2 - 2023</t>
  </si>
  <si>
    <t>Halvårsindtægt Q3-4 - 2024</t>
  </si>
  <si>
    <t>Halvårsindtægt Q1-2 - 2024</t>
  </si>
  <si>
    <t>Halvårsindtægt Q1-2 - 2025</t>
  </si>
  <si>
    <t>Halvårsindtægt Q3-4 - 2025</t>
  </si>
  <si>
    <t>Halvårsindtægt Q1-2 - 2026</t>
  </si>
  <si>
    <t>Halvårsindtægt Q3-4 - 2026</t>
  </si>
  <si>
    <t>Halvårsindtægt Q1-2 - 2027</t>
  </si>
  <si>
    <t>Halvårsindtægt Q3-4 - 2027</t>
  </si>
  <si>
    <t>Vedligeholdelse 2028</t>
  </si>
  <si>
    <t>Tagleje 2024</t>
  </si>
  <si>
    <t>Indskud 2023</t>
  </si>
  <si>
    <t>Tagleje 2025</t>
  </si>
  <si>
    <t>Tagleje 2026</t>
  </si>
  <si>
    <t>Tagleje 2027</t>
  </si>
  <si>
    <t>Underpost</t>
  </si>
  <si>
    <t>Dato</t>
  </si>
  <si>
    <t>Diverse mindre solcelleanlæg - SP</t>
  </si>
  <si>
    <t>Solvangskolen</t>
  </si>
  <si>
    <t>Hareskov skole</t>
  </si>
  <si>
    <t>Lille Værløse skole</t>
  </si>
  <si>
    <t>Søndersøskolen</t>
  </si>
  <si>
    <t>Flere mindre solcelleanlæg</t>
  </si>
  <si>
    <t>Renteudgifter for 2023</t>
  </si>
  <si>
    <t>Renteudgifter for 2024</t>
  </si>
  <si>
    <t>Renteudgifter for 2025</t>
  </si>
  <si>
    <t>Renteudgifter for 2026</t>
  </si>
  <si>
    <t>Renteudgifter for 2027</t>
  </si>
  <si>
    <t>3% i rente af 20% af 9,3 mio. kr.</t>
  </si>
  <si>
    <t>Vingesus børnehus &amp; Bakkehuset</t>
  </si>
  <si>
    <t>Øvrige solcelleanlæg i 2024</t>
  </si>
  <si>
    <t>Øvrige solcelleanlæg i 2025</t>
  </si>
  <si>
    <t>Værløse bibliotek, Galaksen og Farum kulturhus</t>
  </si>
  <si>
    <t>Syvstjerneskolen, Hareskov hallen og indskolingen</t>
  </si>
  <si>
    <t>Solcelleanlæg i 2026 - 1. halvår</t>
  </si>
  <si>
    <t>Solcelleanlæg i 2026 - 2. halvår</t>
  </si>
  <si>
    <t>markedskendskab</t>
  </si>
  <si>
    <t>12% af anskaffelsessummen - fordelt ud på forskellige rådgiveropgaver</t>
  </si>
  <si>
    <t>Hovedstol</t>
  </si>
  <si>
    <t xml:space="preserve">80 % kommunegaranteret lån </t>
  </si>
  <si>
    <t>20 % lån uden kommunegaranti</t>
  </si>
  <si>
    <t>Rente</t>
  </si>
  <si>
    <t>Afdrag</t>
  </si>
  <si>
    <t>Løbetid</t>
  </si>
  <si>
    <t>År 1</t>
  </si>
  <si>
    <t>År 2</t>
  </si>
  <si>
    <t>År 3</t>
  </si>
  <si>
    <t>År 4</t>
  </si>
  <si>
    <t xml:space="preserve">Sum </t>
  </si>
  <si>
    <t>År 0*</t>
  </si>
  <si>
    <t>der er benyttet lige store afdrag i hvert af årene- reelt er afdragene typisk større i starten  ved annuitetslån</t>
  </si>
  <si>
    <t xml:space="preserve">Der er ikke taget højde for at renten kan stige </t>
  </si>
  <si>
    <t>*forudsætter at 2023 er byggekredit, hvor der ikke betales afdrag</t>
  </si>
  <si>
    <t>Lån nr. 1</t>
  </si>
  <si>
    <t>Lån nr. 2</t>
  </si>
  <si>
    <t>Lån nr. 3</t>
  </si>
  <si>
    <t>Lån nr. 4</t>
  </si>
  <si>
    <t xml:space="preserve">Total udgifter til lån </t>
  </si>
  <si>
    <t>Svømmehal 1</t>
  </si>
  <si>
    <t>Skole 1</t>
  </si>
  <si>
    <t>Skole 2</t>
  </si>
  <si>
    <t>Skole 3</t>
  </si>
  <si>
    <t>Skole 4</t>
  </si>
  <si>
    <t>Daginstitution 1</t>
  </si>
  <si>
    <t>Skole 5</t>
  </si>
  <si>
    <t>Bibliotek 1</t>
  </si>
  <si>
    <t>Skole 6</t>
  </si>
  <si>
    <t>Institution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</si>
</sst>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.&quot;_-;\-* #,##0.00\ &quot;kr.&quot;_-;_-* &quot;-&quot;??\ &quot;kr.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44" fontId="0" fillId="0" borderId="0" xfId="1" applyFont="1"/>
    <xf numFmtId="0" fontId="2" fillId="0" borderId="0" xfId="0" applyFont="1"/>
    <xf numFmtId="9" fontId="0" fillId="0" borderId="0" xfId="0" applyNumberFormat="1"/>
    <xf numFmtId="0" fontId="0" fillId="0" borderId="1" xfId="0" applyBorder="1"/>
    <xf numFmtId="9" fontId="0" fillId="0" borderId="1" xfId="0" applyNumberFormat="1" applyBorder="1"/>
    <xf numFmtId="14" fontId="0" fillId="0" borderId="3" xfId="0" applyNumberFormat="1" applyBorder="1"/>
    <xf numFmtId="14" fontId="0" fillId="0" borderId="4" xfId="0" applyNumberFormat="1" applyBorder="1"/>
    <xf numFmtId="0" fontId="0" fillId="0" borderId="5" xfId="0" applyBorder="1"/>
    <xf numFmtId="14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4" fontId="0" fillId="0" borderId="10" xfId="1" applyFont="1" applyBorder="1"/>
    <xf numFmtId="44" fontId="0" fillId="0" borderId="11" xfId="1" applyFont="1" applyBorder="1"/>
    <xf numFmtId="44" fontId="0" fillId="0" borderId="12" xfId="1" applyFont="1" applyBorder="1"/>
    <xf numFmtId="44" fontId="0" fillId="0" borderId="13" xfId="1" applyFont="1" applyBorder="1"/>
    <xf numFmtId="44" fontId="0" fillId="0" borderId="14" xfId="1" applyFont="1" applyBorder="1"/>
    <xf numFmtId="44" fontId="0" fillId="0" borderId="15" xfId="1" applyFont="1" applyBorder="1"/>
    <xf numFmtId="0" fontId="0" fillId="0" borderId="16" xfId="0" applyBorder="1" applyAlignment="1">
      <alignment wrapText="1"/>
    </xf>
    <xf numFmtId="0" fontId="0" fillId="0" borderId="2" xfId="0" applyBorder="1"/>
    <xf numFmtId="3" fontId="0" fillId="0" borderId="0" xfId="0" applyNumberFormat="1"/>
    <xf numFmtId="10" fontId="0" fillId="0" borderId="0" xfId="0" applyNumberFormat="1"/>
    <xf numFmtId="0" fontId="6" fillId="0" borderId="0" xfId="0" applyFont="1"/>
    <xf numFmtId="3" fontId="6" fillId="0" borderId="0" xfId="0" applyNumberFormat="1" applyFont="1"/>
    <xf numFmtId="0" fontId="2" fillId="2" borderId="0" xfId="0" applyFont="1" applyFill="1"/>
    <xf numFmtId="3" fontId="2" fillId="2" borderId="0" xfId="0" applyNumberFormat="1" applyFont="1" applyFill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9DFB8-1797-43F7-8715-D2CAF70D7CAC}">
  <sheetPr filterMode="1"/>
  <dimension ref="A1:F510"/>
  <sheetViews>
    <sheetView zoomScale="120" zoomScaleNormal="120" workbookViewId="0">
      <selection activeCell="B174" sqref="A1:F510"/>
    </sheetView>
  </sheetViews>
  <sheetFormatPr defaultRowHeight="15" x14ac:dyDescent="0.25"/>
  <cols>
    <col min="1" max="1" width="15.5703125" customWidth="1"/>
    <col min="2" max="2" width="32.42578125" customWidth="1"/>
    <col min="3" max="3" width="37.28515625" bestFit="1" customWidth="1"/>
    <col min="4" max="4" width="17" bestFit="1" customWidth="1"/>
    <col min="5" max="5" width="20.140625" customWidth="1"/>
  </cols>
  <sheetData>
    <row r="1" spans="1:6" ht="15.75" x14ac:dyDescent="0.25">
      <c r="A1" s="4" t="s">
        <v>0</v>
      </c>
    </row>
    <row r="2" spans="1:6" hidden="1" x14ac:dyDescent="0.25"/>
    <row r="3" spans="1:6" ht="30.75" hidden="1" thickBot="1" x14ac:dyDescent="0.3">
      <c r="A3" s="13" t="s">
        <v>45</v>
      </c>
      <c r="B3" s="14" t="s">
        <v>4</v>
      </c>
      <c r="C3" s="14" t="s">
        <v>44</v>
      </c>
      <c r="D3" s="21" t="s">
        <v>1</v>
      </c>
      <c r="E3" s="22" t="s">
        <v>2</v>
      </c>
    </row>
    <row r="4" spans="1:6" hidden="1" x14ac:dyDescent="0.25">
      <c r="A4" s="11">
        <v>44927</v>
      </c>
      <c r="B4" s="12" t="s">
        <v>40</v>
      </c>
      <c r="C4" s="12" t="s">
        <v>24</v>
      </c>
      <c r="D4" s="19">
        <v>9300000</v>
      </c>
      <c r="E4" s="20">
        <f>D4</f>
        <v>9300000</v>
      </c>
    </row>
    <row r="5" spans="1:6" hidden="1" x14ac:dyDescent="0.25">
      <c r="A5" s="8">
        <v>44927</v>
      </c>
      <c r="B5" s="6" t="s">
        <v>18</v>
      </c>
      <c r="C5" s="6" t="s">
        <v>19</v>
      </c>
      <c r="D5" s="15">
        <v>-14000</v>
      </c>
      <c r="E5" s="17">
        <f t="shared" ref="E5:E68" si="0">E4+D5</f>
        <v>9286000</v>
      </c>
    </row>
    <row r="6" spans="1:6" hidden="1" x14ac:dyDescent="0.25">
      <c r="A6" s="8">
        <v>44958</v>
      </c>
      <c r="B6" s="6" t="s">
        <v>3</v>
      </c>
      <c r="C6" s="6" t="s">
        <v>6</v>
      </c>
      <c r="D6" s="15">
        <v>-25000</v>
      </c>
      <c r="E6" s="17">
        <f t="shared" si="0"/>
        <v>9261000</v>
      </c>
      <c r="F6" t="s">
        <v>65</v>
      </c>
    </row>
    <row r="7" spans="1:6" hidden="1" x14ac:dyDescent="0.25">
      <c r="A7" s="8">
        <v>44958</v>
      </c>
      <c r="B7" s="6" t="s">
        <v>3</v>
      </c>
      <c r="C7" s="6" t="s">
        <v>5</v>
      </c>
      <c r="D7" s="15">
        <v>-600000</v>
      </c>
      <c r="E7" s="17">
        <f t="shared" si="0"/>
        <v>8661000</v>
      </c>
    </row>
    <row r="8" spans="1:6" hidden="1" x14ac:dyDescent="0.25">
      <c r="A8" s="8">
        <v>44986</v>
      </c>
      <c r="B8" s="6" t="s">
        <v>3</v>
      </c>
      <c r="C8" s="6" t="s">
        <v>7</v>
      </c>
      <c r="D8" s="15">
        <v>-150000</v>
      </c>
      <c r="E8" s="17">
        <f t="shared" si="0"/>
        <v>8511000</v>
      </c>
    </row>
    <row r="9" spans="1:6" hidden="1" x14ac:dyDescent="0.25">
      <c r="A9" s="8">
        <v>44986</v>
      </c>
      <c r="B9" s="6" t="s">
        <v>11</v>
      </c>
      <c r="C9" s="6" t="s">
        <v>6</v>
      </c>
      <c r="D9" s="15">
        <v>-100000</v>
      </c>
      <c r="E9" s="17">
        <f t="shared" si="0"/>
        <v>8411000</v>
      </c>
    </row>
    <row r="10" spans="1:6" hidden="1" x14ac:dyDescent="0.25">
      <c r="A10" s="8">
        <v>45017</v>
      </c>
      <c r="B10" s="6" t="s">
        <v>3</v>
      </c>
      <c r="C10" s="6" t="s">
        <v>9</v>
      </c>
      <c r="D10" s="15">
        <f>-0.25*1260000</f>
        <v>-315000</v>
      </c>
      <c r="E10" s="17">
        <f t="shared" si="0"/>
        <v>8096000</v>
      </c>
    </row>
    <row r="11" spans="1:6" hidden="1" x14ac:dyDescent="0.25">
      <c r="A11" s="8">
        <v>45017</v>
      </c>
      <c r="B11" s="6" t="s">
        <v>11</v>
      </c>
      <c r="C11" s="6" t="s">
        <v>15</v>
      </c>
      <c r="D11" s="15">
        <v>-50000</v>
      </c>
      <c r="E11" s="17">
        <f t="shared" si="0"/>
        <v>8046000</v>
      </c>
    </row>
    <row r="12" spans="1:6" hidden="1" x14ac:dyDescent="0.25">
      <c r="A12" s="8">
        <v>45047</v>
      </c>
      <c r="B12" s="6" t="s">
        <v>3</v>
      </c>
      <c r="C12" s="6" t="s">
        <v>8</v>
      </c>
      <c r="D12" s="15">
        <v>-60000</v>
      </c>
      <c r="E12" s="17">
        <f t="shared" si="0"/>
        <v>7986000</v>
      </c>
    </row>
    <row r="13" spans="1:6" hidden="1" x14ac:dyDescent="0.25">
      <c r="A13" s="8">
        <v>45047</v>
      </c>
      <c r="B13" s="6" t="s">
        <v>3</v>
      </c>
      <c r="C13" s="6" t="s">
        <v>10</v>
      </c>
      <c r="D13" s="15">
        <f>-0.75*1260000</f>
        <v>-945000</v>
      </c>
      <c r="E13" s="17">
        <f t="shared" si="0"/>
        <v>7041000</v>
      </c>
    </row>
    <row r="14" spans="1:6" hidden="1" x14ac:dyDescent="0.25">
      <c r="A14" s="8">
        <v>45047</v>
      </c>
      <c r="B14" s="6" t="s">
        <v>51</v>
      </c>
      <c r="C14" s="6" t="s">
        <v>6</v>
      </c>
      <c r="D14" s="15">
        <v>-70000</v>
      </c>
      <c r="E14" s="17">
        <f t="shared" si="0"/>
        <v>6971000</v>
      </c>
      <c r="F14" s="5" t="s">
        <v>66</v>
      </c>
    </row>
    <row r="15" spans="1:6" hidden="1" x14ac:dyDescent="0.25">
      <c r="A15" s="8">
        <v>45108</v>
      </c>
      <c r="B15" s="6" t="s">
        <v>51</v>
      </c>
      <c r="C15" s="6" t="s">
        <v>16</v>
      </c>
      <c r="D15" s="15">
        <v>-110000</v>
      </c>
      <c r="E15" s="17">
        <f t="shared" si="0"/>
        <v>6861000</v>
      </c>
    </row>
    <row r="16" spans="1:6" x14ac:dyDescent="0.25">
      <c r="A16" s="8">
        <v>45108</v>
      </c>
      <c r="B16" s="6" t="s">
        <v>46</v>
      </c>
      <c r="C16" s="6" t="s">
        <v>28</v>
      </c>
      <c r="D16" s="15">
        <f>0.1*207700</f>
        <v>20770</v>
      </c>
      <c r="E16" s="17">
        <f t="shared" si="0"/>
        <v>6881770</v>
      </c>
    </row>
    <row r="17" spans="1:5" x14ac:dyDescent="0.25">
      <c r="A17" s="8">
        <v>45114</v>
      </c>
      <c r="B17" s="6" t="s">
        <v>87</v>
      </c>
      <c r="C17" s="6" t="s">
        <v>29</v>
      </c>
      <c r="D17" s="15">
        <f>127765*0.5</f>
        <v>63882.5</v>
      </c>
      <c r="E17" s="17">
        <f t="shared" si="0"/>
        <v>6945652.5</v>
      </c>
    </row>
    <row r="18" spans="1:5" hidden="1" x14ac:dyDescent="0.25">
      <c r="A18" s="8">
        <v>45139</v>
      </c>
      <c r="B18" s="6" t="s">
        <v>11</v>
      </c>
      <c r="C18" s="6" t="s">
        <v>16</v>
      </c>
      <c r="D18" s="15">
        <v>-300000</v>
      </c>
      <c r="E18" s="17">
        <f t="shared" si="0"/>
        <v>6645652.5</v>
      </c>
    </row>
    <row r="19" spans="1:5" hidden="1" x14ac:dyDescent="0.25">
      <c r="A19" s="8">
        <v>45139</v>
      </c>
      <c r="B19" s="6" t="s">
        <v>11</v>
      </c>
      <c r="C19" s="6" t="s">
        <v>9</v>
      </c>
      <c r="D19" s="15">
        <f>-300*9000*0.25</f>
        <v>-675000</v>
      </c>
      <c r="E19" s="17">
        <f t="shared" si="0"/>
        <v>5970652.5</v>
      </c>
    </row>
    <row r="20" spans="1:5" hidden="1" x14ac:dyDescent="0.25">
      <c r="A20" s="8">
        <v>45139</v>
      </c>
      <c r="B20" s="6" t="s">
        <v>51</v>
      </c>
      <c r="C20" s="6" t="s">
        <v>9</v>
      </c>
      <c r="D20" s="15">
        <f>-1550000*0.25</f>
        <v>-387500</v>
      </c>
      <c r="E20" s="17">
        <f t="shared" si="0"/>
        <v>5583152.5</v>
      </c>
    </row>
    <row r="21" spans="1:5" hidden="1" x14ac:dyDescent="0.25">
      <c r="A21" s="8">
        <v>45139</v>
      </c>
      <c r="B21" s="6" t="s">
        <v>46</v>
      </c>
      <c r="C21" s="6" t="s">
        <v>6</v>
      </c>
      <c r="D21" s="15">
        <v>-75000</v>
      </c>
      <c r="E21" s="17">
        <f t="shared" si="0"/>
        <v>5508152.5</v>
      </c>
    </row>
    <row r="22" spans="1:5" hidden="1" x14ac:dyDescent="0.25">
      <c r="A22" s="8">
        <v>45200</v>
      </c>
      <c r="B22" s="6" t="s">
        <v>51</v>
      </c>
      <c r="C22" s="6" t="s">
        <v>8</v>
      </c>
      <c r="D22" s="15">
        <v>-40000</v>
      </c>
      <c r="E22" s="17">
        <f t="shared" si="0"/>
        <v>5468152.5</v>
      </c>
    </row>
    <row r="23" spans="1:5" hidden="1" x14ac:dyDescent="0.25">
      <c r="A23" s="8">
        <v>45200</v>
      </c>
      <c r="B23" s="6" t="s">
        <v>46</v>
      </c>
      <c r="C23" s="6" t="s">
        <v>16</v>
      </c>
      <c r="D23" s="15">
        <v>-160000</v>
      </c>
      <c r="E23" s="17">
        <f t="shared" si="0"/>
        <v>5308152.5</v>
      </c>
    </row>
    <row r="24" spans="1:5" hidden="1" x14ac:dyDescent="0.25">
      <c r="A24" s="8">
        <v>45231</v>
      </c>
      <c r="B24" s="6" t="s">
        <v>11</v>
      </c>
      <c r="C24" s="6" t="s">
        <v>8</v>
      </c>
      <c r="D24" s="15">
        <v>-150000</v>
      </c>
      <c r="E24" s="17">
        <f t="shared" si="0"/>
        <v>5158152.5</v>
      </c>
    </row>
    <row r="25" spans="1:5" hidden="1" x14ac:dyDescent="0.25">
      <c r="A25" s="8">
        <v>45231</v>
      </c>
      <c r="B25" s="6" t="s">
        <v>51</v>
      </c>
      <c r="C25" s="6" t="s">
        <v>10</v>
      </c>
      <c r="D25" s="15">
        <f>-1550000*0.75</f>
        <v>-1162500</v>
      </c>
      <c r="E25" s="17">
        <f t="shared" si="0"/>
        <v>3995652.5</v>
      </c>
    </row>
    <row r="26" spans="1:5" hidden="1" x14ac:dyDescent="0.25">
      <c r="A26" s="8">
        <v>45231</v>
      </c>
      <c r="B26" s="6" t="s">
        <v>46</v>
      </c>
      <c r="C26" s="6" t="s">
        <v>9</v>
      </c>
      <c r="D26" s="15">
        <f>-2295000*0.25</f>
        <v>-573750</v>
      </c>
      <c r="E26" s="17">
        <f t="shared" si="0"/>
        <v>3421902.5</v>
      </c>
    </row>
    <row r="27" spans="1:5" hidden="1" x14ac:dyDescent="0.25">
      <c r="A27" s="8">
        <v>45291</v>
      </c>
      <c r="B27" s="6" t="s">
        <v>52</v>
      </c>
      <c r="C27" s="7" t="s">
        <v>57</v>
      </c>
      <c r="D27" s="15">
        <f>-9300000*0.03*0.2</f>
        <v>-55800</v>
      </c>
      <c r="E27" s="17">
        <f t="shared" si="0"/>
        <v>3366102.5</v>
      </c>
    </row>
    <row r="28" spans="1:5" hidden="1" x14ac:dyDescent="0.25">
      <c r="A28" s="8">
        <v>45291</v>
      </c>
      <c r="B28" s="6" t="s">
        <v>11</v>
      </c>
      <c r="C28" s="6" t="s">
        <v>10</v>
      </c>
      <c r="D28" s="15">
        <f>-300*9000*0.75</f>
        <v>-2025000</v>
      </c>
      <c r="E28" s="17">
        <f t="shared" si="0"/>
        <v>1341102.5</v>
      </c>
    </row>
    <row r="29" spans="1:5" hidden="1" x14ac:dyDescent="0.25">
      <c r="A29" s="8">
        <v>45291</v>
      </c>
      <c r="B29" s="6" t="s">
        <v>46</v>
      </c>
      <c r="C29" s="6" t="s">
        <v>8</v>
      </c>
      <c r="D29" s="15">
        <v>-75000</v>
      </c>
      <c r="E29" s="17">
        <f t="shared" si="0"/>
        <v>1266102.5</v>
      </c>
    </row>
    <row r="30" spans="1:5" hidden="1" x14ac:dyDescent="0.25">
      <c r="A30" s="8">
        <v>45292</v>
      </c>
      <c r="B30" s="6" t="s">
        <v>12</v>
      </c>
      <c r="C30" s="6" t="s">
        <v>24</v>
      </c>
      <c r="D30" s="15">
        <v>9300000</v>
      </c>
      <c r="E30" s="17">
        <f t="shared" si="0"/>
        <v>10566102.5</v>
      </c>
    </row>
    <row r="31" spans="1:5" hidden="1" x14ac:dyDescent="0.25">
      <c r="A31" s="8">
        <v>45292</v>
      </c>
      <c r="B31" s="6" t="s">
        <v>18</v>
      </c>
      <c r="C31" s="6" t="s">
        <v>20</v>
      </c>
      <c r="D31" s="15">
        <v>-14000</v>
      </c>
      <c r="E31" s="17">
        <f t="shared" si="0"/>
        <v>10552102.5</v>
      </c>
    </row>
    <row r="32" spans="1:5" hidden="1" x14ac:dyDescent="0.25">
      <c r="A32" s="8">
        <v>45292</v>
      </c>
      <c r="B32" s="6" t="s">
        <v>3</v>
      </c>
      <c r="C32" s="6" t="s">
        <v>17</v>
      </c>
      <c r="D32" s="15">
        <f>-1260000*0.01</f>
        <v>-12600</v>
      </c>
      <c r="E32" s="17">
        <f t="shared" si="0"/>
        <v>10539502.5</v>
      </c>
    </row>
    <row r="33" spans="1:5" x14ac:dyDescent="0.25">
      <c r="A33" s="8">
        <v>45292</v>
      </c>
      <c r="B33" s="6" t="s">
        <v>88</v>
      </c>
      <c r="C33" s="6" t="s">
        <v>28</v>
      </c>
      <c r="D33" s="15">
        <f>220508*0.2</f>
        <v>44101.600000000006</v>
      </c>
      <c r="E33" s="17">
        <f t="shared" si="0"/>
        <v>10583604.1</v>
      </c>
    </row>
    <row r="34" spans="1:5" hidden="1" x14ac:dyDescent="0.25">
      <c r="A34" s="8">
        <v>45292</v>
      </c>
      <c r="B34" s="6" t="s">
        <v>11</v>
      </c>
      <c r="C34" s="6" t="s">
        <v>17</v>
      </c>
      <c r="D34" s="15">
        <f>-2700000*0.0075</f>
        <v>-20250</v>
      </c>
      <c r="E34" s="17">
        <f t="shared" si="0"/>
        <v>10563354.1</v>
      </c>
    </row>
    <row r="35" spans="1:5" x14ac:dyDescent="0.25">
      <c r="A35" s="8">
        <v>45292</v>
      </c>
      <c r="B35" s="6" t="s">
        <v>51</v>
      </c>
      <c r="C35" s="6" t="s">
        <v>28</v>
      </c>
      <c r="D35" s="15">
        <f>138500*0.1</f>
        <v>13850</v>
      </c>
      <c r="E35" s="17">
        <f t="shared" si="0"/>
        <v>10577204.1</v>
      </c>
    </row>
    <row r="36" spans="1:5" hidden="1" x14ac:dyDescent="0.25">
      <c r="A36" s="8">
        <v>45292</v>
      </c>
      <c r="B36" s="6" t="s">
        <v>51</v>
      </c>
      <c r="C36" s="6" t="s">
        <v>17</v>
      </c>
      <c r="D36" s="15">
        <f>-1870000*0.0075</f>
        <v>-14025</v>
      </c>
      <c r="E36" s="17">
        <f t="shared" si="0"/>
        <v>10563179.1</v>
      </c>
    </row>
    <row r="37" spans="1:5" hidden="1" x14ac:dyDescent="0.25">
      <c r="A37" s="8">
        <v>45292</v>
      </c>
      <c r="B37" s="6" t="s">
        <v>46</v>
      </c>
      <c r="C37" s="6" t="s">
        <v>17</v>
      </c>
      <c r="D37" s="15">
        <f>-2605000*0.0075</f>
        <v>-19537.5</v>
      </c>
      <c r="E37" s="17">
        <f t="shared" si="0"/>
        <v>10543641.6</v>
      </c>
    </row>
    <row r="38" spans="1:5" hidden="1" x14ac:dyDescent="0.25">
      <c r="A38" s="8">
        <v>45292</v>
      </c>
      <c r="B38" s="6" t="s">
        <v>47</v>
      </c>
      <c r="C38" s="6" t="s">
        <v>17</v>
      </c>
      <c r="D38" s="15">
        <f>-1800000*0.0075</f>
        <v>-13500</v>
      </c>
      <c r="E38" s="17">
        <f t="shared" si="0"/>
        <v>10530141.6</v>
      </c>
    </row>
    <row r="39" spans="1:5" hidden="1" x14ac:dyDescent="0.25">
      <c r="A39" s="8">
        <v>45292</v>
      </c>
      <c r="B39" s="6" t="s">
        <v>48</v>
      </c>
      <c r="C39" s="6" t="s">
        <v>17</v>
      </c>
      <c r="D39" s="15">
        <f>-2200000*0.0075</f>
        <v>-16500</v>
      </c>
      <c r="E39" s="17">
        <f t="shared" si="0"/>
        <v>10513641.6</v>
      </c>
    </row>
    <row r="40" spans="1:5" hidden="1" x14ac:dyDescent="0.25">
      <c r="A40" s="8">
        <v>45292</v>
      </c>
      <c r="B40" s="6" t="s">
        <v>49</v>
      </c>
      <c r="C40" s="6" t="s">
        <v>17</v>
      </c>
      <c r="D40" s="15">
        <f>-1650000*0.0075</f>
        <v>-12375</v>
      </c>
      <c r="E40" s="17">
        <f t="shared" si="0"/>
        <v>10501266.6</v>
      </c>
    </row>
    <row r="41" spans="1:5" hidden="1" x14ac:dyDescent="0.25">
      <c r="A41" s="8">
        <v>45292</v>
      </c>
      <c r="B41" s="6" t="s">
        <v>58</v>
      </c>
      <c r="C41" s="6" t="s">
        <v>17</v>
      </c>
      <c r="D41" s="15">
        <f>-1180000*0.0075</f>
        <v>-8850</v>
      </c>
      <c r="E41" s="17">
        <f t="shared" si="0"/>
        <v>10492416.6</v>
      </c>
    </row>
    <row r="42" spans="1:5" x14ac:dyDescent="0.25">
      <c r="A42" s="8">
        <v>45298</v>
      </c>
      <c r="B42" s="6" t="s">
        <v>87</v>
      </c>
      <c r="C42" s="6" t="s">
        <v>28</v>
      </c>
      <c r="D42" s="15">
        <f>127765*0.3</f>
        <v>38329.5</v>
      </c>
      <c r="E42" s="17">
        <f t="shared" si="0"/>
        <v>10530746.1</v>
      </c>
    </row>
    <row r="43" spans="1:5" hidden="1" x14ac:dyDescent="0.25">
      <c r="A43" s="8">
        <v>45323</v>
      </c>
      <c r="B43" s="6" t="s">
        <v>46</v>
      </c>
      <c r="C43" s="6" t="s">
        <v>10</v>
      </c>
      <c r="D43" s="15">
        <f>-2295000*0.75</f>
        <v>-1721250</v>
      </c>
      <c r="E43" s="17">
        <f t="shared" si="0"/>
        <v>8809496.0999999996</v>
      </c>
    </row>
    <row r="44" spans="1:5" hidden="1" x14ac:dyDescent="0.25">
      <c r="A44" s="8">
        <v>45323</v>
      </c>
      <c r="B44" s="6" t="s">
        <v>47</v>
      </c>
      <c r="C44" s="6" t="s">
        <v>6</v>
      </c>
      <c r="D44" s="15">
        <v>-40000</v>
      </c>
      <c r="E44" s="17">
        <f t="shared" si="0"/>
        <v>8769496.0999999996</v>
      </c>
    </row>
    <row r="45" spans="1:5" hidden="1" x14ac:dyDescent="0.25">
      <c r="A45" s="8">
        <v>45352</v>
      </c>
      <c r="B45" s="6" t="s">
        <v>47</v>
      </c>
      <c r="C45" s="6" t="s">
        <v>16</v>
      </c>
      <c r="D45" s="15">
        <v>-140000</v>
      </c>
      <c r="E45" s="17">
        <f t="shared" si="0"/>
        <v>8629496.0999999996</v>
      </c>
    </row>
    <row r="46" spans="1:5" hidden="1" x14ac:dyDescent="0.25">
      <c r="A46" s="8">
        <v>45352</v>
      </c>
      <c r="B46" s="6" t="s">
        <v>48</v>
      </c>
      <c r="C46" s="6" t="s">
        <v>6</v>
      </c>
      <c r="D46" s="15">
        <v>-45000</v>
      </c>
      <c r="E46" s="17">
        <f t="shared" si="0"/>
        <v>8584496.0999999996</v>
      </c>
    </row>
    <row r="47" spans="1:5" hidden="1" x14ac:dyDescent="0.25">
      <c r="A47" s="8">
        <v>45383</v>
      </c>
      <c r="B47" s="6" t="s">
        <v>47</v>
      </c>
      <c r="C47" s="6" t="s">
        <v>9</v>
      </c>
      <c r="D47" s="15">
        <f>-1580000*0.25</f>
        <v>-395000</v>
      </c>
      <c r="E47" s="17">
        <f t="shared" si="0"/>
        <v>8189496.0999999996</v>
      </c>
    </row>
    <row r="48" spans="1:5" hidden="1" x14ac:dyDescent="0.25">
      <c r="A48" s="8">
        <v>45383</v>
      </c>
      <c r="B48" s="6" t="s">
        <v>48</v>
      </c>
      <c r="C48" s="6" t="s">
        <v>16</v>
      </c>
      <c r="D48" s="15">
        <v>170000</v>
      </c>
      <c r="E48" s="17">
        <f t="shared" si="0"/>
        <v>8359496.0999999996</v>
      </c>
    </row>
    <row r="49" spans="1:5" hidden="1" x14ac:dyDescent="0.25">
      <c r="A49" s="8">
        <v>45383</v>
      </c>
      <c r="B49" s="6" t="s">
        <v>49</v>
      </c>
      <c r="C49" s="6" t="s">
        <v>6</v>
      </c>
      <c r="D49" s="15">
        <v>-40000</v>
      </c>
      <c r="E49" s="17">
        <f t="shared" si="0"/>
        <v>8319496.0999999996</v>
      </c>
    </row>
    <row r="50" spans="1:5" hidden="1" x14ac:dyDescent="0.25">
      <c r="A50" s="8">
        <v>45413</v>
      </c>
      <c r="B50" s="6" t="s">
        <v>48</v>
      </c>
      <c r="C50" s="6" t="s">
        <v>9</v>
      </c>
      <c r="D50" s="15">
        <f>-1940000*0.25</f>
        <v>-485000</v>
      </c>
      <c r="E50" s="17">
        <f t="shared" si="0"/>
        <v>7834496.0999999996</v>
      </c>
    </row>
    <row r="51" spans="1:5" hidden="1" x14ac:dyDescent="0.25">
      <c r="A51" s="8">
        <v>45413</v>
      </c>
      <c r="B51" s="6" t="s">
        <v>49</v>
      </c>
      <c r="C51" s="6" t="s">
        <v>16</v>
      </c>
      <c r="D51" s="15">
        <v>-125000</v>
      </c>
      <c r="E51" s="17">
        <f t="shared" si="0"/>
        <v>7709496.0999999996</v>
      </c>
    </row>
    <row r="52" spans="1:5" hidden="1" x14ac:dyDescent="0.25">
      <c r="A52" s="8">
        <v>45444</v>
      </c>
      <c r="B52" s="6" t="s">
        <v>47</v>
      </c>
      <c r="C52" s="6" t="s">
        <v>8</v>
      </c>
      <c r="D52" s="15">
        <v>-35000</v>
      </c>
      <c r="E52" s="17">
        <f t="shared" si="0"/>
        <v>7674496.0999999996</v>
      </c>
    </row>
    <row r="53" spans="1:5" hidden="1" x14ac:dyDescent="0.25">
      <c r="A53" s="8">
        <v>45444</v>
      </c>
      <c r="B53" s="6" t="s">
        <v>49</v>
      </c>
      <c r="C53" s="6" t="s">
        <v>9</v>
      </c>
      <c r="D53" s="15">
        <f>-1450000*0.25</f>
        <v>-362500</v>
      </c>
      <c r="E53" s="17">
        <f t="shared" si="0"/>
        <v>7311996.0999999996</v>
      </c>
    </row>
    <row r="54" spans="1:5" hidden="1" x14ac:dyDescent="0.25">
      <c r="A54" s="8">
        <v>45444</v>
      </c>
      <c r="B54" s="6" t="s">
        <v>58</v>
      </c>
      <c r="C54" s="6" t="s">
        <v>6</v>
      </c>
      <c r="D54" s="15">
        <v>-25000</v>
      </c>
      <c r="E54" s="17">
        <f t="shared" si="0"/>
        <v>7286996.0999999996</v>
      </c>
    </row>
    <row r="55" spans="1:5" x14ac:dyDescent="0.25">
      <c r="A55" s="8">
        <v>45474</v>
      </c>
      <c r="B55" s="6" t="s">
        <v>87</v>
      </c>
      <c r="C55" s="6" t="s">
        <v>31</v>
      </c>
      <c r="D55" s="15">
        <f>127765*0.5</f>
        <v>63882.5</v>
      </c>
      <c r="E55" s="17">
        <f t="shared" si="0"/>
        <v>7350878.5999999996</v>
      </c>
    </row>
    <row r="56" spans="1:5" x14ac:dyDescent="0.25">
      <c r="A56" s="8">
        <v>45474</v>
      </c>
      <c r="B56" s="6" t="s">
        <v>88</v>
      </c>
      <c r="C56" s="6" t="s">
        <v>31</v>
      </c>
      <c r="D56" s="15">
        <f>220508*0.5</f>
        <v>110254</v>
      </c>
      <c r="E56" s="17">
        <f t="shared" si="0"/>
        <v>7461132.5999999996</v>
      </c>
    </row>
    <row r="57" spans="1:5" x14ac:dyDescent="0.25">
      <c r="A57" s="8">
        <v>45474</v>
      </c>
      <c r="B57" s="6" t="s">
        <v>51</v>
      </c>
      <c r="C57" s="6" t="s">
        <v>31</v>
      </c>
      <c r="D57" s="15">
        <f>138505*0.5</f>
        <v>69252.5</v>
      </c>
      <c r="E57" s="17">
        <f t="shared" si="0"/>
        <v>7530385.0999999996</v>
      </c>
    </row>
    <row r="58" spans="1:5" x14ac:dyDescent="0.25">
      <c r="A58" s="8">
        <v>45474</v>
      </c>
      <c r="B58" s="6" t="s">
        <v>46</v>
      </c>
      <c r="C58" s="6" t="s">
        <v>31</v>
      </c>
      <c r="D58" s="15">
        <f>0.5*207700</f>
        <v>103850</v>
      </c>
      <c r="E58" s="17">
        <f t="shared" si="0"/>
        <v>7634235.0999999996</v>
      </c>
    </row>
    <row r="59" spans="1:5" hidden="1" x14ac:dyDescent="0.25">
      <c r="A59" s="8">
        <v>45474</v>
      </c>
      <c r="B59" s="6" t="s">
        <v>47</v>
      </c>
      <c r="C59" s="6" t="s">
        <v>10</v>
      </c>
      <c r="D59" s="15">
        <f>-1580000*0.75</f>
        <v>-1185000</v>
      </c>
      <c r="E59" s="17">
        <f t="shared" si="0"/>
        <v>6449235.0999999996</v>
      </c>
    </row>
    <row r="60" spans="1:5" x14ac:dyDescent="0.25">
      <c r="A60" s="8">
        <v>45474</v>
      </c>
      <c r="B60" s="6" t="s">
        <v>89</v>
      </c>
      <c r="C60" s="6" t="s">
        <v>31</v>
      </c>
      <c r="D60" s="15">
        <f>0.15*205350</f>
        <v>30802.5</v>
      </c>
      <c r="E60" s="17">
        <f t="shared" si="0"/>
        <v>6480037.5999999996</v>
      </c>
    </row>
    <row r="61" spans="1:5" hidden="1" x14ac:dyDescent="0.25">
      <c r="A61" s="8">
        <v>45474</v>
      </c>
      <c r="B61" s="6" t="s">
        <v>48</v>
      </c>
      <c r="C61" s="6" t="s">
        <v>8</v>
      </c>
      <c r="D61" s="15">
        <v>-45000</v>
      </c>
      <c r="E61" s="17">
        <f t="shared" si="0"/>
        <v>6435037.5999999996</v>
      </c>
    </row>
    <row r="62" spans="1:5" hidden="1" x14ac:dyDescent="0.25">
      <c r="A62" s="8">
        <v>45474</v>
      </c>
      <c r="B62" s="6" t="s">
        <v>58</v>
      </c>
      <c r="C62" s="6" t="s">
        <v>16</v>
      </c>
      <c r="D62" s="15">
        <v>-95000</v>
      </c>
      <c r="E62" s="17">
        <f t="shared" si="0"/>
        <v>6340037.5999999996</v>
      </c>
    </row>
    <row r="63" spans="1:5" hidden="1" x14ac:dyDescent="0.25">
      <c r="A63" s="8">
        <v>45505</v>
      </c>
      <c r="B63" s="6" t="s">
        <v>48</v>
      </c>
      <c r="C63" s="6" t="s">
        <v>10</v>
      </c>
      <c r="D63" s="15">
        <f>-1940000*0.75</f>
        <v>-1455000</v>
      </c>
      <c r="E63" s="17">
        <f t="shared" si="0"/>
        <v>4885037.5999999996</v>
      </c>
    </row>
    <row r="64" spans="1:5" hidden="1" x14ac:dyDescent="0.25">
      <c r="A64" s="8">
        <v>45505</v>
      </c>
      <c r="B64" s="6" t="s">
        <v>49</v>
      </c>
      <c r="C64" s="6" t="s">
        <v>8</v>
      </c>
      <c r="D64" s="15">
        <v>-35000</v>
      </c>
      <c r="E64" s="17">
        <f t="shared" si="0"/>
        <v>4850037.5999999996</v>
      </c>
    </row>
    <row r="65" spans="1:5" hidden="1" x14ac:dyDescent="0.25">
      <c r="A65" s="8">
        <v>45505</v>
      </c>
      <c r="B65" s="6" t="s">
        <v>58</v>
      </c>
      <c r="C65" s="6" t="s">
        <v>9</v>
      </c>
      <c r="D65" s="15">
        <f>-1035000*0.25</f>
        <v>-258750</v>
      </c>
      <c r="E65" s="17">
        <f t="shared" si="0"/>
        <v>4591287.5999999996</v>
      </c>
    </row>
    <row r="66" spans="1:5" hidden="1" x14ac:dyDescent="0.25">
      <c r="A66" s="8">
        <v>45505</v>
      </c>
      <c r="B66" s="6" t="s">
        <v>59</v>
      </c>
      <c r="C66" s="6" t="s">
        <v>6</v>
      </c>
      <c r="D66" s="15">
        <v>-50000</v>
      </c>
      <c r="E66" s="17">
        <f t="shared" si="0"/>
        <v>4541287.5999999996</v>
      </c>
    </row>
    <row r="67" spans="1:5" hidden="1" x14ac:dyDescent="0.25">
      <c r="A67" s="8">
        <v>45536</v>
      </c>
      <c r="B67" s="6" t="s">
        <v>49</v>
      </c>
      <c r="C67" s="6" t="s">
        <v>10</v>
      </c>
      <c r="D67" s="15">
        <f>-1450000*0.75</f>
        <v>-1087500</v>
      </c>
      <c r="E67" s="17">
        <f t="shared" si="0"/>
        <v>3453787.5999999996</v>
      </c>
    </row>
    <row r="68" spans="1:5" hidden="1" x14ac:dyDescent="0.25">
      <c r="A68" s="8">
        <v>45536</v>
      </c>
      <c r="B68" s="6" t="s">
        <v>59</v>
      </c>
      <c r="C68" s="6" t="s">
        <v>16</v>
      </c>
      <c r="D68" s="15">
        <v>155000</v>
      </c>
      <c r="E68" s="17">
        <f t="shared" si="0"/>
        <v>3608787.5999999996</v>
      </c>
    </row>
    <row r="69" spans="1:5" hidden="1" x14ac:dyDescent="0.25">
      <c r="A69" s="8">
        <v>45566</v>
      </c>
      <c r="B69" s="6" t="s">
        <v>58</v>
      </c>
      <c r="C69" s="6" t="s">
        <v>8</v>
      </c>
      <c r="D69" s="15">
        <v>-25000</v>
      </c>
      <c r="E69" s="17">
        <f t="shared" ref="E69:E132" si="1">E68+D69</f>
        <v>3583787.5999999996</v>
      </c>
    </row>
    <row r="70" spans="1:5" hidden="1" x14ac:dyDescent="0.25">
      <c r="A70" s="8">
        <v>45566</v>
      </c>
      <c r="B70" s="6" t="s">
        <v>59</v>
      </c>
      <c r="C70" s="6" t="s">
        <v>9</v>
      </c>
      <c r="D70" s="15">
        <f>-2000000*0.25</f>
        <v>-500000</v>
      </c>
      <c r="E70" s="17">
        <f t="shared" si="1"/>
        <v>3083787.5999999996</v>
      </c>
    </row>
    <row r="71" spans="1:5" hidden="1" x14ac:dyDescent="0.25">
      <c r="A71" s="8">
        <v>45597</v>
      </c>
      <c r="B71" s="6" t="s">
        <v>58</v>
      </c>
      <c r="C71" s="6" t="s">
        <v>10</v>
      </c>
      <c r="D71" s="15">
        <f>-1035000*0.75</f>
        <v>-776250</v>
      </c>
      <c r="E71" s="17">
        <f t="shared" si="1"/>
        <v>2307537.5999999996</v>
      </c>
    </row>
    <row r="72" spans="1:5" hidden="1" x14ac:dyDescent="0.25">
      <c r="A72" s="8">
        <v>45627</v>
      </c>
      <c r="B72" s="6" t="s">
        <v>59</v>
      </c>
      <c r="C72" s="6" t="s">
        <v>8</v>
      </c>
      <c r="D72" s="15">
        <v>-60000</v>
      </c>
      <c r="E72" s="17">
        <f t="shared" si="1"/>
        <v>2247537.5999999996</v>
      </c>
    </row>
    <row r="73" spans="1:5" hidden="1" x14ac:dyDescent="0.25">
      <c r="A73" s="8">
        <v>45657</v>
      </c>
      <c r="B73" s="6" t="s">
        <v>53</v>
      </c>
      <c r="C73" s="7" t="s">
        <v>57</v>
      </c>
      <c r="D73" s="15">
        <f>-9300000*0.03*2*0.2</f>
        <v>-111600</v>
      </c>
      <c r="E73" s="17">
        <f t="shared" si="1"/>
        <v>2135937.5999999996</v>
      </c>
    </row>
    <row r="74" spans="1:5" hidden="1" x14ac:dyDescent="0.25">
      <c r="A74" s="8">
        <v>45657</v>
      </c>
      <c r="B74" s="6" t="s">
        <v>11</v>
      </c>
      <c r="C74" s="6" t="s">
        <v>39</v>
      </c>
      <c r="D74" s="15">
        <f>-300*6*10</f>
        <v>-18000</v>
      </c>
      <c r="E74" s="17">
        <f t="shared" si="1"/>
        <v>2117937.5999999996</v>
      </c>
    </row>
    <row r="75" spans="1:5" hidden="1" x14ac:dyDescent="0.25">
      <c r="A75" s="8">
        <v>45657</v>
      </c>
      <c r="B75" s="6" t="s">
        <v>51</v>
      </c>
      <c r="C75" s="6" t="s">
        <v>39</v>
      </c>
      <c r="D75" s="15">
        <f>-146*6*10</f>
        <v>-8760</v>
      </c>
      <c r="E75" s="17">
        <f t="shared" si="1"/>
        <v>2109177.5999999996</v>
      </c>
    </row>
    <row r="76" spans="1:5" hidden="1" x14ac:dyDescent="0.25">
      <c r="A76" s="8">
        <v>45657</v>
      </c>
      <c r="B76" s="6" t="s">
        <v>46</v>
      </c>
      <c r="C76" s="6" t="s">
        <v>39</v>
      </c>
      <c r="D76" s="15">
        <f>-235*6*10</f>
        <v>-14100</v>
      </c>
      <c r="E76" s="17">
        <f t="shared" si="1"/>
        <v>2095077.5999999996</v>
      </c>
    </row>
    <row r="77" spans="1:5" hidden="1" x14ac:dyDescent="0.25">
      <c r="A77" s="8">
        <v>45657</v>
      </c>
      <c r="B77" s="6" t="s">
        <v>47</v>
      </c>
      <c r="C77" s="6" t="s">
        <v>39</v>
      </c>
      <c r="D77" s="15">
        <f>-180*6*10</f>
        <v>-10800</v>
      </c>
      <c r="E77" s="17">
        <f t="shared" si="1"/>
        <v>2084277.5999999996</v>
      </c>
    </row>
    <row r="78" spans="1:5" hidden="1" x14ac:dyDescent="0.25">
      <c r="A78" s="8">
        <v>45657</v>
      </c>
      <c r="B78" s="6" t="s">
        <v>48</v>
      </c>
      <c r="C78" s="6" t="s">
        <v>39</v>
      </c>
      <c r="D78" s="15">
        <f>-200*6*10</f>
        <v>-12000</v>
      </c>
      <c r="E78" s="17">
        <f t="shared" si="1"/>
        <v>2072277.5999999996</v>
      </c>
    </row>
    <row r="79" spans="1:5" hidden="1" x14ac:dyDescent="0.25">
      <c r="A79" s="8">
        <v>45657</v>
      </c>
      <c r="B79" s="6" t="s">
        <v>49</v>
      </c>
      <c r="C79" s="6" t="s">
        <v>39</v>
      </c>
      <c r="D79" s="15">
        <f>-150*6*10</f>
        <v>-9000</v>
      </c>
      <c r="E79" s="17">
        <f t="shared" si="1"/>
        <v>2063277.5999999996</v>
      </c>
    </row>
    <row r="80" spans="1:5" hidden="1" x14ac:dyDescent="0.25">
      <c r="A80" s="8">
        <v>45657</v>
      </c>
      <c r="B80" s="6" t="s">
        <v>58</v>
      </c>
      <c r="C80" s="6" t="s">
        <v>39</v>
      </c>
      <c r="D80" s="15">
        <f>-115*6*10</f>
        <v>-6900</v>
      </c>
      <c r="E80" s="17">
        <f t="shared" si="1"/>
        <v>2056377.5999999996</v>
      </c>
    </row>
    <row r="81" spans="1:5" hidden="1" x14ac:dyDescent="0.25">
      <c r="A81" s="8">
        <v>45658</v>
      </c>
      <c r="B81" s="6" t="s">
        <v>13</v>
      </c>
      <c r="C81" s="6" t="s">
        <v>24</v>
      </c>
      <c r="D81" s="15">
        <v>9300000</v>
      </c>
      <c r="E81" s="17">
        <f t="shared" si="1"/>
        <v>11356377.6</v>
      </c>
    </row>
    <row r="82" spans="1:5" hidden="1" x14ac:dyDescent="0.25">
      <c r="A82" s="8">
        <v>45658</v>
      </c>
      <c r="B82" s="6" t="s">
        <v>18</v>
      </c>
      <c r="C82" s="6" t="s">
        <v>21</v>
      </c>
      <c r="D82" s="15">
        <v>-14000</v>
      </c>
      <c r="E82" s="17">
        <f t="shared" si="1"/>
        <v>11342377.6</v>
      </c>
    </row>
    <row r="83" spans="1:5" hidden="1" x14ac:dyDescent="0.25">
      <c r="A83" s="8">
        <v>45658</v>
      </c>
      <c r="B83" s="6" t="s">
        <v>3</v>
      </c>
      <c r="C83" s="6" t="s">
        <v>25</v>
      </c>
      <c r="D83" s="15">
        <f>-1260000*0.01</f>
        <v>-12600</v>
      </c>
      <c r="E83" s="17">
        <f t="shared" si="1"/>
        <v>11329777.6</v>
      </c>
    </row>
    <row r="84" spans="1:5" x14ac:dyDescent="0.25">
      <c r="A84" s="8">
        <v>45658</v>
      </c>
      <c r="B84" s="6" t="s">
        <v>88</v>
      </c>
      <c r="C84" s="6" t="s">
        <v>30</v>
      </c>
      <c r="D84" s="15">
        <f>220508*0.5</f>
        <v>110254</v>
      </c>
      <c r="E84" s="17">
        <f t="shared" si="1"/>
        <v>11440031.6</v>
      </c>
    </row>
    <row r="85" spans="1:5" hidden="1" x14ac:dyDescent="0.25">
      <c r="A85" s="8">
        <v>45658</v>
      </c>
      <c r="B85" s="6" t="s">
        <v>11</v>
      </c>
      <c r="C85" s="6" t="s">
        <v>25</v>
      </c>
      <c r="D85" s="15">
        <f>-2700000*0.0075</f>
        <v>-20250</v>
      </c>
      <c r="E85" s="17">
        <f t="shared" si="1"/>
        <v>11419781.6</v>
      </c>
    </row>
    <row r="86" spans="1:5" x14ac:dyDescent="0.25">
      <c r="A86" s="8">
        <v>45658</v>
      </c>
      <c r="B86" s="6" t="s">
        <v>51</v>
      </c>
      <c r="C86" s="6" t="s">
        <v>30</v>
      </c>
      <c r="D86" s="15">
        <f>138505*0.5</f>
        <v>69252.5</v>
      </c>
      <c r="E86" s="17">
        <f t="shared" si="1"/>
        <v>11489034.1</v>
      </c>
    </row>
    <row r="87" spans="1:5" hidden="1" x14ac:dyDescent="0.25">
      <c r="A87" s="8">
        <v>45658</v>
      </c>
      <c r="B87" s="6" t="s">
        <v>51</v>
      </c>
      <c r="C87" s="6" t="s">
        <v>25</v>
      </c>
      <c r="D87" s="15">
        <f>-1870000*0.0075</f>
        <v>-14025</v>
      </c>
      <c r="E87" s="17">
        <f t="shared" si="1"/>
        <v>11475009.1</v>
      </c>
    </row>
    <row r="88" spans="1:5" x14ac:dyDescent="0.25">
      <c r="A88" s="8">
        <v>45658</v>
      </c>
      <c r="B88" s="6" t="s">
        <v>46</v>
      </c>
      <c r="C88" s="6" t="s">
        <v>30</v>
      </c>
      <c r="D88" s="15">
        <f>0.5*207700</f>
        <v>103850</v>
      </c>
      <c r="E88" s="17">
        <f t="shared" si="1"/>
        <v>11578859.1</v>
      </c>
    </row>
    <row r="89" spans="1:5" hidden="1" x14ac:dyDescent="0.25">
      <c r="A89" s="8">
        <v>45658</v>
      </c>
      <c r="B89" s="6" t="s">
        <v>46</v>
      </c>
      <c r="C89" s="6" t="s">
        <v>25</v>
      </c>
      <c r="D89" s="15">
        <f>-2605000*0.0075</f>
        <v>-19537.5</v>
      </c>
      <c r="E89" s="17">
        <f t="shared" si="1"/>
        <v>11559321.6</v>
      </c>
    </row>
    <row r="90" spans="1:5" x14ac:dyDescent="0.25">
      <c r="A90" s="8">
        <v>45658</v>
      </c>
      <c r="B90" s="6" t="s">
        <v>89</v>
      </c>
      <c r="C90" s="6" t="s">
        <v>30</v>
      </c>
      <c r="D90" s="15">
        <f>0.5*205350</f>
        <v>102675</v>
      </c>
      <c r="E90" s="17">
        <f t="shared" si="1"/>
        <v>11661996.6</v>
      </c>
    </row>
    <row r="91" spans="1:5" hidden="1" x14ac:dyDescent="0.25">
      <c r="A91" s="8">
        <v>45658</v>
      </c>
      <c r="B91" s="6" t="s">
        <v>47</v>
      </c>
      <c r="C91" s="6" t="s">
        <v>25</v>
      </c>
      <c r="D91" s="15">
        <f>-1800000*0.0075</f>
        <v>-13500</v>
      </c>
      <c r="E91" s="17">
        <f t="shared" si="1"/>
        <v>11648496.6</v>
      </c>
    </row>
    <row r="92" spans="1:5" x14ac:dyDescent="0.25">
      <c r="A92" s="8">
        <v>45658</v>
      </c>
      <c r="B92" s="6" t="s">
        <v>90</v>
      </c>
      <c r="C92" s="6" t="s">
        <v>30</v>
      </c>
      <c r="D92" s="15">
        <f>0.5*215500</f>
        <v>107750</v>
      </c>
      <c r="E92" s="17">
        <f t="shared" si="1"/>
        <v>11756246.6</v>
      </c>
    </row>
    <row r="93" spans="1:5" hidden="1" x14ac:dyDescent="0.25">
      <c r="A93" s="8">
        <v>45658</v>
      </c>
      <c r="B93" s="6" t="s">
        <v>48</v>
      </c>
      <c r="C93" s="6" t="s">
        <v>25</v>
      </c>
      <c r="D93" s="15">
        <f>-2200000*0.0075</f>
        <v>-16500</v>
      </c>
      <c r="E93" s="17">
        <f t="shared" si="1"/>
        <v>11739746.6</v>
      </c>
    </row>
    <row r="94" spans="1:5" x14ac:dyDescent="0.25">
      <c r="A94" s="8">
        <v>45658</v>
      </c>
      <c r="B94" s="6" t="s">
        <v>91</v>
      </c>
      <c r="C94" s="6" t="s">
        <v>30</v>
      </c>
      <c r="D94" s="15">
        <f>0.5*168700</f>
        <v>84350</v>
      </c>
      <c r="E94" s="17">
        <f t="shared" si="1"/>
        <v>11824096.6</v>
      </c>
    </row>
    <row r="95" spans="1:5" hidden="1" x14ac:dyDescent="0.25">
      <c r="A95" s="8">
        <v>45658</v>
      </c>
      <c r="B95" s="6" t="s">
        <v>49</v>
      </c>
      <c r="C95" s="6" t="s">
        <v>25</v>
      </c>
      <c r="D95" s="15">
        <f>-1650000*0.0075</f>
        <v>-12375</v>
      </c>
      <c r="E95" s="17">
        <f t="shared" si="1"/>
        <v>11811721.6</v>
      </c>
    </row>
    <row r="96" spans="1:5" x14ac:dyDescent="0.25">
      <c r="A96" s="8">
        <v>45658</v>
      </c>
      <c r="B96" s="6" t="s">
        <v>92</v>
      </c>
      <c r="C96" s="6" t="s">
        <v>30</v>
      </c>
      <c r="D96" s="15">
        <f>0.3*105700</f>
        <v>31710</v>
      </c>
      <c r="E96" s="17">
        <f t="shared" si="1"/>
        <v>11843431.6</v>
      </c>
    </row>
    <row r="97" spans="1:5" hidden="1" x14ac:dyDescent="0.25">
      <c r="A97" s="8">
        <v>45658</v>
      </c>
      <c r="B97" s="6" t="s">
        <v>58</v>
      </c>
      <c r="C97" s="6" t="s">
        <v>25</v>
      </c>
      <c r="D97" s="15">
        <f>-1180000*0.0075</f>
        <v>-8850</v>
      </c>
      <c r="E97" s="17">
        <f t="shared" si="1"/>
        <v>11834581.6</v>
      </c>
    </row>
    <row r="98" spans="1:5" hidden="1" x14ac:dyDescent="0.25">
      <c r="A98" s="8">
        <v>45658</v>
      </c>
      <c r="B98" s="6" t="s">
        <v>59</v>
      </c>
      <c r="C98" s="6" t="s">
        <v>10</v>
      </c>
      <c r="D98" s="15">
        <f>-2000000*0.75</f>
        <v>-1500000</v>
      </c>
      <c r="E98" s="17">
        <f t="shared" si="1"/>
        <v>10334581.6</v>
      </c>
    </row>
    <row r="99" spans="1:5" hidden="1" x14ac:dyDescent="0.25">
      <c r="A99" s="8">
        <v>45658</v>
      </c>
      <c r="B99" s="6" t="s">
        <v>59</v>
      </c>
      <c r="C99" s="6" t="s">
        <v>25</v>
      </c>
      <c r="D99" s="15">
        <f>-2200000*0.0075</f>
        <v>-16500</v>
      </c>
      <c r="E99" s="17">
        <f t="shared" si="1"/>
        <v>10318081.6</v>
      </c>
    </row>
    <row r="100" spans="1:5" hidden="1" x14ac:dyDescent="0.25">
      <c r="A100" s="8">
        <v>45658</v>
      </c>
      <c r="B100" s="6" t="s">
        <v>50</v>
      </c>
      <c r="C100" s="6" t="s">
        <v>25</v>
      </c>
      <c r="D100" s="15">
        <f>-1650000*0.0075</f>
        <v>-12375</v>
      </c>
      <c r="E100" s="17">
        <f t="shared" si="1"/>
        <v>10305706.6</v>
      </c>
    </row>
    <row r="101" spans="1:5" hidden="1" x14ac:dyDescent="0.25">
      <c r="A101" s="8">
        <v>45658</v>
      </c>
      <c r="B101" s="6" t="s">
        <v>61</v>
      </c>
      <c r="C101" s="6" t="s">
        <v>25</v>
      </c>
      <c r="D101" s="15">
        <f>-2200000*0.0075</f>
        <v>-16500</v>
      </c>
      <c r="E101" s="17">
        <f t="shared" si="1"/>
        <v>10289206.6</v>
      </c>
    </row>
    <row r="102" spans="1:5" hidden="1" x14ac:dyDescent="0.25">
      <c r="A102" s="8">
        <v>45658</v>
      </c>
      <c r="B102" s="6" t="s">
        <v>62</v>
      </c>
      <c r="C102" s="6" t="s">
        <v>25</v>
      </c>
      <c r="D102" s="15">
        <f>-1740000*0.0075</f>
        <v>-13050</v>
      </c>
      <c r="E102" s="17">
        <f t="shared" si="1"/>
        <v>10276156.6</v>
      </c>
    </row>
    <row r="103" spans="1:5" hidden="1" x14ac:dyDescent="0.25">
      <c r="A103" s="8">
        <v>45658</v>
      </c>
      <c r="B103" s="6" t="s">
        <v>60</v>
      </c>
      <c r="C103" s="6" t="s">
        <v>25</v>
      </c>
      <c r="D103" s="15">
        <f>-3700000*0.0075</f>
        <v>-27750</v>
      </c>
      <c r="E103" s="17">
        <f t="shared" si="1"/>
        <v>10248406.6</v>
      </c>
    </row>
    <row r="104" spans="1:5" x14ac:dyDescent="0.25">
      <c r="A104" s="8">
        <v>45664</v>
      </c>
      <c r="B104" s="6" t="s">
        <v>87</v>
      </c>
      <c r="C104" s="6" t="s">
        <v>30</v>
      </c>
      <c r="D104" s="15">
        <f>127765*0.5</f>
        <v>63882.5</v>
      </c>
      <c r="E104" s="17">
        <f t="shared" si="1"/>
        <v>10312289.1</v>
      </c>
    </row>
    <row r="105" spans="1:5" hidden="1" x14ac:dyDescent="0.25">
      <c r="A105" s="8">
        <v>45689</v>
      </c>
      <c r="B105" s="6" t="s">
        <v>50</v>
      </c>
      <c r="C105" s="6" t="s">
        <v>6</v>
      </c>
      <c r="D105" s="15">
        <v>-35000</v>
      </c>
      <c r="E105" s="17">
        <f t="shared" si="1"/>
        <v>10277289.1</v>
      </c>
    </row>
    <row r="106" spans="1:5" hidden="1" x14ac:dyDescent="0.25">
      <c r="A106" s="8">
        <v>45717</v>
      </c>
      <c r="B106" s="6" t="s">
        <v>50</v>
      </c>
      <c r="C106" s="6" t="s">
        <v>16</v>
      </c>
      <c r="D106" s="15">
        <v>-145000</v>
      </c>
      <c r="E106" s="17">
        <f t="shared" si="1"/>
        <v>10132289.1</v>
      </c>
    </row>
    <row r="107" spans="1:5" hidden="1" x14ac:dyDescent="0.25">
      <c r="A107" s="8">
        <v>45717</v>
      </c>
      <c r="B107" s="6" t="s">
        <v>61</v>
      </c>
      <c r="C107" s="6" t="s">
        <v>6</v>
      </c>
      <c r="D107" s="15">
        <v>-45000</v>
      </c>
      <c r="E107" s="17">
        <f t="shared" si="1"/>
        <v>10087289.1</v>
      </c>
    </row>
    <row r="108" spans="1:5" hidden="1" x14ac:dyDescent="0.25">
      <c r="A108" s="8">
        <v>45748</v>
      </c>
      <c r="B108" s="6" t="s">
        <v>50</v>
      </c>
      <c r="C108" s="6" t="s">
        <v>9</v>
      </c>
      <c r="D108" s="15">
        <f>-1430000*0.25</f>
        <v>-357500</v>
      </c>
      <c r="E108" s="17">
        <f t="shared" si="1"/>
        <v>9729789.0999999996</v>
      </c>
    </row>
    <row r="109" spans="1:5" hidden="1" x14ac:dyDescent="0.25">
      <c r="A109" s="8">
        <v>45748</v>
      </c>
      <c r="B109" s="6" t="s">
        <v>61</v>
      </c>
      <c r="C109" s="6" t="s">
        <v>16</v>
      </c>
      <c r="D109" s="15">
        <v>-170000</v>
      </c>
      <c r="E109" s="17">
        <f t="shared" si="1"/>
        <v>9559789.0999999996</v>
      </c>
    </row>
    <row r="110" spans="1:5" hidden="1" x14ac:dyDescent="0.25">
      <c r="A110" s="8">
        <v>45748</v>
      </c>
      <c r="B110" s="6" t="s">
        <v>62</v>
      </c>
      <c r="C110" s="6" t="s">
        <v>6</v>
      </c>
      <c r="D110" s="15">
        <v>-40000</v>
      </c>
      <c r="E110" s="17">
        <f t="shared" si="1"/>
        <v>9519789.0999999996</v>
      </c>
    </row>
    <row r="111" spans="1:5" hidden="1" x14ac:dyDescent="0.25">
      <c r="A111" s="8">
        <v>45778</v>
      </c>
      <c r="B111" s="6" t="s">
        <v>61</v>
      </c>
      <c r="C111" s="6" t="s">
        <v>9</v>
      </c>
      <c r="D111" s="15">
        <f>-1935000*0.25</f>
        <v>-483750</v>
      </c>
      <c r="E111" s="17">
        <f t="shared" si="1"/>
        <v>9036039.0999999996</v>
      </c>
    </row>
    <row r="112" spans="1:5" hidden="1" x14ac:dyDescent="0.25">
      <c r="A112" s="8">
        <v>45778</v>
      </c>
      <c r="B112" s="6" t="s">
        <v>62</v>
      </c>
      <c r="C112" s="6" t="s">
        <v>16</v>
      </c>
      <c r="D112" s="15">
        <v>-125000</v>
      </c>
      <c r="E112" s="17">
        <f t="shared" si="1"/>
        <v>8911039.0999999996</v>
      </c>
    </row>
    <row r="113" spans="1:5" hidden="1" x14ac:dyDescent="0.25">
      <c r="A113" s="8">
        <v>45809</v>
      </c>
      <c r="B113" s="6" t="s">
        <v>50</v>
      </c>
      <c r="C113" s="6" t="s">
        <v>8</v>
      </c>
      <c r="D113" s="15">
        <v>-40000</v>
      </c>
      <c r="E113" s="17">
        <f t="shared" si="1"/>
        <v>8871039.0999999996</v>
      </c>
    </row>
    <row r="114" spans="1:5" hidden="1" x14ac:dyDescent="0.25">
      <c r="A114" s="8">
        <v>45809</v>
      </c>
      <c r="B114" s="6" t="s">
        <v>62</v>
      </c>
      <c r="C114" s="6" t="s">
        <v>9</v>
      </c>
      <c r="D114" s="15">
        <f>-1530000*0.25</f>
        <v>-382500</v>
      </c>
      <c r="E114" s="17">
        <f t="shared" si="1"/>
        <v>8488539.0999999996</v>
      </c>
    </row>
    <row r="115" spans="1:5" hidden="1" x14ac:dyDescent="0.25">
      <c r="A115" s="8">
        <v>45809</v>
      </c>
      <c r="B115" s="6" t="s">
        <v>60</v>
      </c>
      <c r="C115" s="6" t="s">
        <v>6</v>
      </c>
      <c r="D115" s="15">
        <v>-90000</v>
      </c>
      <c r="E115" s="17">
        <f t="shared" si="1"/>
        <v>8398539.0999999996</v>
      </c>
    </row>
    <row r="116" spans="1:5" x14ac:dyDescent="0.25">
      <c r="A116" s="8">
        <v>45839</v>
      </c>
      <c r="B116" s="6" t="s">
        <v>87</v>
      </c>
      <c r="C116" s="6" t="s">
        <v>32</v>
      </c>
      <c r="D116" s="15">
        <f>127765*0.5</f>
        <v>63882.5</v>
      </c>
      <c r="E116" s="17">
        <f t="shared" si="1"/>
        <v>8462421.5999999996</v>
      </c>
    </row>
    <row r="117" spans="1:5" x14ac:dyDescent="0.25">
      <c r="A117" s="8">
        <v>45839</v>
      </c>
      <c r="B117" s="6" t="s">
        <v>88</v>
      </c>
      <c r="C117" s="6" t="s">
        <v>32</v>
      </c>
      <c r="D117" s="15">
        <f>220508*0.5</f>
        <v>110254</v>
      </c>
      <c r="E117" s="17">
        <f t="shared" si="1"/>
        <v>8572675.5999999996</v>
      </c>
    </row>
    <row r="118" spans="1:5" x14ac:dyDescent="0.25">
      <c r="A118" s="8">
        <v>45839</v>
      </c>
      <c r="B118" s="6" t="s">
        <v>51</v>
      </c>
      <c r="C118" s="6" t="s">
        <v>32</v>
      </c>
      <c r="D118" s="15">
        <f>138505*0.5</f>
        <v>69252.5</v>
      </c>
      <c r="E118" s="17">
        <f t="shared" si="1"/>
        <v>8641928.0999999996</v>
      </c>
    </row>
    <row r="119" spans="1:5" x14ac:dyDescent="0.25">
      <c r="A119" s="8">
        <v>45839</v>
      </c>
      <c r="B119" s="6" t="s">
        <v>46</v>
      </c>
      <c r="C119" s="6" t="s">
        <v>32</v>
      </c>
      <c r="D119" s="15">
        <f>0.5*207700</f>
        <v>103850</v>
      </c>
      <c r="E119" s="17">
        <f t="shared" si="1"/>
        <v>8745778.0999999996</v>
      </c>
    </row>
    <row r="120" spans="1:5" x14ac:dyDescent="0.25">
      <c r="A120" s="8">
        <v>45839</v>
      </c>
      <c r="B120" s="6" t="s">
        <v>89</v>
      </c>
      <c r="C120" s="6" t="s">
        <v>32</v>
      </c>
      <c r="D120" s="15">
        <f>0.5*205350</f>
        <v>102675</v>
      </c>
      <c r="E120" s="17">
        <f t="shared" si="1"/>
        <v>8848453.0999999996</v>
      </c>
    </row>
    <row r="121" spans="1:5" x14ac:dyDescent="0.25">
      <c r="A121" s="8">
        <v>45839</v>
      </c>
      <c r="B121" s="6" t="s">
        <v>90</v>
      </c>
      <c r="C121" s="6" t="s">
        <v>32</v>
      </c>
      <c r="D121" s="15">
        <f>0.5*215500</f>
        <v>107750</v>
      </c>
      <c r="E121" s="17">
        <f t="shared" si="1"/>
        <v>8956203.0999999996</v>
      </c>
    </row>
    <row r="122" spans="1:5" x14ac:dyDescent="0.25">
      <c r="A122" s="8">
        <v>45839</v>
      </c>
      <c r="B122" s="6" t="s">
        <v>91</v>
      </c>
      <c r="C122" s="6" t="s">
        <v>32</v>
      </c>
      <c r="D122" s="15">
        <f>0.5*168700</f>
        <v>84350</v>
      </c>
      <c r="E122" s="17">
        <f t="shared" si="1"/>
        <v>9040553.0999999996</v>
      </c>
    </row>
    <row r="123" spans="1:5" x14ac:dyDescent="0.25">
      <c r="A123" s="8">
        <v>45839</v>
      </c>
      <c r="B123" s="6" t="s">
        <v>92</v>
      </c>
      <c r="C123" s="6" t="s">
        <v>32</v>
      </c>
      <c r="D123" s="15">
        <f>0.5*105700</f>
        <v>52850</v>
      </c>
      <c r="E123" s="17">
        <f t="shared" si="1"/>
        <v>9093403.0999999996</v>
      </c>
    </row>
    <row r="124" spans="1:5" x14ac:dyDescent="0.25">
      <c r="A124" s="8">
        <v>45839</v>
      </c>
      <c r="B124" s="6" t="s">
        <v>59</v>
      </c>
      <c r="C124" s="6" t="s">
        <v>32</v>
      </c>
      <c r="D124" s="15">
        <f>0.5*200*850*2.14</f>
        <v>181900</v>
      </c>
      <c r="E124" s="17">
        <f t="shared" si="1"/>
        <v>9275303.0999999996</v>
      </c>
    </row>
    <row r="125" spans="1:5" hidden="1" x14ac:dyDescent="0.25">
      <c r="A125" s="8">
        <v>45839</v>
      </c>
      <c r="B125" s="6" t="s">
        <v>50</v>
      </c>
      <c r="C125" s="6" t="s">
        <v>10</v>
      </c>
      <c r="D125" s="15">
        <f>-1430000*0.75</f>
        <v>-1072500</v>
      </c>
      <c r="E125" s="17">
        <f t="shared" si="1"/>
        <v>8202803.0999999996</v>
      </c>
    </row>
    <row r="126" spans="1:5" x14ac:dyDescent="0.25">
      <c r="A126" s="8">
        <v>45839</v>
      </c>
      <c r="B126" s="6" t="s">
        <v>93</v>
      </c>
      <c r="C126" s="6" t="s">
        <v>32</v>
      </c>
      <c r="D126" s="15">
        <f>0.5*150*900*2.14</f>
        <v>144450</v>
      </c>
      <c r="E126" s="17">
        <f t="shared" si="1"/>
        <v>8347253.0999999996</v>
      </c>
    </row>
    <row r="127" spans="1:5" hidden="1" x14ac:dyDescent="0.25">
      <c r="A127" s="8">
        <v>45839</v>
      </c>
      <c r="B127" s="6" t="s">
        <v>61</v>
      </c>
      <c r="C127" s="6" t="s">
        <v>8</v>
      </c>
      <c r="D127" s="15">
        <v>-50000</v>
      </c>
      <c r="E127" s="17">
        <f t="shared" si="1"/>
        <v>8297253.0999999996</v>
      </c>
    </row>
    <row r="128" spans="1:5" x14ac:dyDescent="0.25">
      <c r="A128" s="8">
        <v>45839</v>
      </c>
      <c r="B128" s="6" t="s">
        <v>94</v>
      </c>
      <c r="C128" s="6" t="s">
        <v>32</v>
      </c>
      <c r="D128" s="15">
        <f>0.35*200*900*2.14</f>
        <v>134820</v>
      </c>
      <c r="E128" s="17">
        <f t="shared" si="1"/>
        <v>8432073.0999999996</v>
      </c>
    </row>
    <row r="129" spans="1:5" x14ac:dyDescent="0.25">
      <c r="A129" s="8">
        <v>45839</v>
      </c>
      <c r="B129" s="6" t="s">
        <v>95</v>
      </c>
      <c r="C129" s="6" t="s">
        <v>32</v>
      </c>
      <c r="D129" s="15">
        <f>0.15*156*900*2.14</f>
        <v>45068.4</v>
      </c>
      <c r="E129" s="17">
        <f t="shared" si="1"/>
        <v>8477141.5</v>
      </c>
    </row>
    <row r="130" spans="1:5" hidden="1" x14ac:dyDescent="0.25">
      <c r="A130" s="8">
        <v>45839</v>
      </c>
      <c r="B130" s="6" t="s">
        <v>60</v>
      </c>
      <c r="C130" s="6" t="s">
        <v>16</v>
      </c>
      <c r="D130" s="15">
        <v>-270000</v>
      </c>
      <c r="E130" s="17">
        <f t="shared" si="1"/>
        <v>8207141.5</v>
      </c>
    </row>
    <row r="131" spans="1:5" hidden="1" x14ac:dyDescent="0.25">
      <c r="A131" s="8">
        <v>45870</v>
      </c>
      <c r="B131" s="6" t="s">
        <v>61</v>
      </c>
      <c r="C131" s="6" t="s">
        <v>10</v>
      </c>
      <c r="D131" s="15">
        <f>-1935000*0.75</f>
        <v>-1451250</v>
      </c>
      <c r="E131" s="17">
        <f t="shared" si="1"/>
        <v>6755891.5</v>
      </c>
    </row>
    <row r="132" spans="1:5" hidden="1" x14ac:dyDescent="0.25">
      <c r="A132" s="8">
        <v>45870</v>
      </c>
      <c r="B132" s="6" t="s">
        <v>62</v>
      </c>
      <c r="C132" s="6" t="s">
        <v>8</v>
      </c>
      <c r="D132" s="15">
        <v>-45000</v>
      </c>
      <c r="E132" s="17">
        <f t="shared" si="1"/>
        <v>6710891.5</v>
      </c>
    </row>
    <row r="133" spans="1:5" hidden="1" x14ac:dyDescent="0.25">
      <c r="A133" s="8">
        <v>45870</v>
      </c>
      <c r="B133" s="6" t="s">
        <v>60</v>
      </c>
      <c r="C133" s="6" t="s">
        <v>9</v>
      </c>
      <c r="D133" s="15">
        <f>-3260000*0.25</f>
        <v>-815000</v>
      </c>
      <c r="E133" s="17">
        <f t="shared" ref="E133:E196" si="2">E132+D133</f>
        <v>5895891.5</v>
      </c>
    </row>
    <row r="134" spans="1:5" hidden="1" x14ac:dyDescent="0.25">
      <c r="A134" s="8">
        <v>45901</v>
      </c>
      <c r="B134" s="6" t="s">
        <v>62</v>
      </c>
      <c r="C134" s="6" t="s">
        <v>10</v>
      </c>
      <c r="D134" s="15">
        <f>-1530000*0.75</f>
        <v>-1147500</v>
      </c>
      <c r="E134" s="17">
        <f t="shared" si="2"/>
        <v>4748391.5</v>
      </c>
    </row>
    <row r="135" spans="1:5" hidden="1" x14ac:dyDescent="0.25">
      <c r="A135" s="8">
        <v>45931</v>
      </c>
      <c r="B135" s="6" t="s">
        <v>60</v>
      </c>
      <c r="C135" s="6" t="s">
        <v>8</v>
      </c>
      <c r="D135" s="15">
        <v>-80000</v>
      </c>
      <c r="E135" s="17">
        <f t="shared" si="2"/>
        <v>4668391.5</v>
      </c>
    </row>
    <row r="136" spans="1:5" hidden="1" x14ac:dyDescent="0.25">
      <c r="A136" s="8">
        <v>45962</v>
      </c>
      <c r="B136" s="6" t="s">
        <v>60</v>
      </c>
      <c r="C136" s="6" t="s">
        <v>10</v>
      </c>
      <c r="D136" s="15">
        <f>-3260000*0.75</f>
        <v>-2445000</v>
      </c>
      <c r="E136" s="17">
        <f t="shared" si="2"/>
        <v>2223391.5</v>
      </c>
    </row>
    <row r="137" spans="1:5" hidden="1" x14ac:dyDescent="0.25">
      <c r="A137" s="8">
        <v>46022</v>
      </c>
      <c r="B137" s="6" t="s">
        <v>54</v>
      </c>
      <c r="C137" s="7" t="s">
        <v>57</v>
      </c>
      <c r="D137" s="15">
        <f>-9300000*0.03*3*0.2</f>
        <v>-167400</v>
      </c>
      <c r="E137" s="17">
        <f t="shared" si="2"/>
        <v>2055991.5</v>
      </c>
    </row>
    <row r="138" spans="1:5" hidden="1" x14ac:dyDescent="0.25">
      <c r="A138" s="8">
        <v>46022</v>
      </c>
      <c r="B138" s="6" t="s">
        <v>11</v>
      </c>
      <c r="C138" s="6" t="s">
        <v>41</v>
      </c>
      <c r="D138" s="15">
        <f>-300*6*10</f>
        <v>-18000</v>
      </c>
      <c r="E138" s="17">
        <f t="shared" si="2"/>
        <v>2037991.5</v>
      </c>
    </row>
    <row r="139" spans="1:5" hidden="1" x14ac:dyDescent="0.25">
      <c r="A139" s="8">
        <v>46022</v>
      </c>
      <c r="B139" s="6" t="s">
        <v>51</v>
      </c>
      <c r="C139" s="6" t="s">
        <v>41</v>
      </c>
      <c r="D139" s="15">
        <f>-146*6*10</f>
        <v>-8760</v>
      </c>
      <c r="E139" s="17">
        <f t="shared" si="2"/>
        <v>2029231.5</v>
      </c>
    </row>
    <row r="140" spans="1:5" hidden="1" x14ac:dyDescent="0.25">
      <c r="A140" s="8">
        <v>46022</v>
      </c>
      <c r="B140" s="6" t="s">
        <v>46</v>
      </c>
      <c r="C140" s="6" t="s">
        <v>41</v>
      </c>
      <c r="D140" s="15">
        <f>-235*6*10</f>
        <v>-14100</v>
      </c>
      <c r="E140" s="17">
        <f t="shared" si="2"/>
        <v>2015131.5</v>
      </c>
    </row>
    <row r="141" spans="1:5" hidden="1" x14ac:dyDescent="0.25">
      <c r="A141" s="8">
        <v>46022</v>
      </c>
      <c r="B141" s="6" t="s">
        <v>47</v>
      </c>
      <c r="C141" s="6" t="s">
        <v>41</v>
      </c>
      <c r="D141" s="15">
        <f>-180*6*10</f>
        <v>-10800</v>
      </c>
      <c r="E141" s="17">
        <f t="shared" si="2"/>
        <v>2004331.5</v>
      </c>
    </row>
    <row r="142" spans="1:5" hidden="1" x14ac:dyDescent="0.25">
      <c r="A142" s="8">
        <v>46022</v>
      </c>
      <c r="B142" s="6" t="s">
        <v>48</v>
      </c>
      <c r="C142" s="6" t="s">
        <v>41</v>
      </c>
      <c r="D142" s="15">
        <f>-200*6*10</f>
        <v>-12000</v>
      </c>
      <c r="E142" s="17">
        <f t="shared" si="2"/>
        <v>1992331.5</v>
      </c>
    </row>
    <row r="143" spans="1:5" hidden="1" x14ac:dyDescent="0.25">
      <c r="A143" s="8">
        <v>46022</v>
      </c>
      <c r="B143" s="6" t="s">
        <v>49</v>
      </c>
      <c r="C143" s="6" t="s">
        <v>41</v>
      </c>
      <c r="D143" s="15">
        <f>-150*6*10</f>
        <v>-9000</v>
      </c>
      <c r="E143" s="17">
        <f t="shared" si="2"/>
        <v>1983331.5</v>
      </c>
    </row>
    <row r="144" spans="1:5" hidden="1" x14ac:dyDescent="0.25">
      <c r="A144" s="8">
        <v>46022</v>
      </c>
      <c r="B144" s="6" t="s">
        <v>58</v>
      </c>
      <c r="C144" s="6" t="s">
        <v>41</v>
      </c>
      <c r="D144" s="15">
        <f>-115*6*10</f>
        <v>-6900</v>
      </c>
      <c r="E144" s="17">
        <f t="shared" si="2"/>
        <v>1976431.5</v>
      </c>
    </row>
    <row r="145" spans="1:5" hidden="1" x14ac:dyDescent="0.25">
      <c r="A145" s="8">
        <v>46022</v>
      </c>
      <c r="B145" s="6" t="s">
        <v>59</v>
      </c>
      <c r="C145" s="6" t="s">
        <v>41</v>
      </c>
      <c r="D145" s="15">
        <f>-200*6*10</f>
        <v>-12000</v>
      </c>
      <c r="E145" s="17">
        <f t="shared" si="2"/>
        <v>1964431.5</v>
      </c>
    </row>
    <row r="146" spans="1:5" hidden="1" x14ac:dyDescent="0.25">
      <c r="A146" s="8">
        <v>46022</v>
      </c>
      <c r="B146" s="6" t="s">
        <v>50</v>
      </c>
      <c r="C146" s="6" t="s">
        <v>41</v>
      </c>
      <c r="D146" s="15">
        <f>-150*6*10</f>
        <v>-9000</v>
      </c>
      <c r="E146" s="17">
        <f t="shared" si="2"/>
        <v>1955431.5</v>
      </c>
    </row>
    <row r="147" spans="1:5" hidden="1" x14ac:dyDescent="0.25">
      <c r="A147" s="8">
        <v>46022</v>
      </c>
      <c r="B147" s="6" t="s">
        <v>61</v>
      </c>
      <c r="C147" s="6" t="s">
        <v>41</v>
      </c>
      <c r="D147" s="15">
        <f>-200*6*10</f>
        <v>-12000</v>
      </c>
      <c r="E147" s="17">
        <f t="shared" si="2"/>
        <v>1943431.5</v>
      </c>
    </row>
    <row r="148" spans="1:5" hidden="1" x14ac:dyDescent="0.25">
      <c r="A148" s="8">
        <v>46022</v>
      </c>
      <c r="B148" s="6" t="s">
        <v>62</v>
      </c>
      <c r="C148" s="6" t="s">
        <v>41</v>
      </c>
      <c r="D148" s="15">
        <f>-156*6*10</f>
        <v>-9360</v>
      </c>
      <c r="E148" s="17">
        <f t="shared" si="2"/>
        <v>1934071.5</v>
      </c>
    </row>
    <row r="149" spans="1:5" hidden="1" x14ac:dyDescent="0.25">
      <c r="A149" s="8">
        <v>46022</v>
      </c>
      <c r="B149" s="6" t="s">
        <v>60</v>
      </c>
      <c r="C149" s="6" t="s">
        <v>41</v>
      </c>
      <c r="D149" s="15">
        <f>-315*6*10</f>
        <v>-18900</v>
      </c>
      <c r="E149" s="17">
        <f t="shared" si="2"/>
        <v>1915171.5</v>
      </c>
    </row>
    <row r="150" spans="1:5" hidden="1" x14ac:dyDescent="0.25">
      <c r="A150" s="8">
        <v>46023</v>
      </c>
      <c r="B150" s="6" t="s">
        <v>14</v>
      </c>
      <c r="C150" s="6" t="s">
        <v>24</v>
      </c>
      <c r="D150" s="15">
        <v>9300000</v>
      </c>
      <c r="E150" s="17">
        <f t="shared" si="2"/>
        <v>11215171.5</v>
      </c>
    </row>
    <row r="151" spans="1:5" hidden="1" x14ac:dyDescent="0.25">
      <c r="A151" s="8">
        <v>46023</v>
      </c>
      <c r="B151" s="6" t="s">
        <v>18</v>
      </c>
      <c r="C151" s="6" t="s">
        <v>22</v>
      </c>
      <c r="D151" s="15">
        <v>-14000</v>
      </c>
      <c r="E151" s="17">
        <f t="shared" si="2"/>
        <v>11201171.5</v>
      </c>
    </row>
    <row r="152" spans="1:5" x14ac:dyDescent="0.25">
      <c r="A152" s="8">
        <v>46023</v>
      </c>
      <c r="B152" s="6" t="s">
        <v>87</v>
      </c>
      <c r="C152" s="6" t="s">
        <v>33</v>
      </c>
      <c r="D152" s="15">
        <f>127765*0.5</f>
        <v>63882.5</v>
      </c>
      <c r="E152" s="17">
        <f t="shared" si="2"/>
        <v>11265054</v>
      </c>
    </row>
    <row r="153" spans="1:5" hidden="1" x14ac:dyDescent="0.25">
      <c r="A153" s="8">
        <v>46023</v>
      </c>
      <c r="B153" s="6" t="s">
        <v>3</v>
      </c>
      <c r="C153" s="6" t="s">
        <v>26</v>
      </c>
      <c r="D153" s="15">
        <f>-1260000*0.01</f>
        <v>-12600</v>
      </c>
      <c r="E153" s="17">
        <f t="shared" si="2"/>
        <v>11252454</v>
      </c>
    </row>
    <row r="154" spans="1:5" x14ac:dyDescent="0.25">
      <c r="A154" s="8">
        <v>46023</v>
      </c>
      <c r="B154" s="6" t="s">
        <v>88</v>
      </c>
      <c r="C154" s="6" t="s">
        <v>33</v>
      </c>
      <c r="D154" s="15">
        <f>220508*0.5</f>
        <v>110254</v>
      </c>
      <c r="E154" s="17">
        <f t="shared" si="2"/>
        <v>11362708</v>
      </c>
    </row>
    <row r="155" spans="1:5" hidden="1" x14ac:dyDescent="0.25">
      <c r="A155" s="8">
        <v>46023</v>
      </c>
      <c r="B155" s="6" t="s">
        <v>11</v>
      </c>
      <c r="C155" s="6" t="s">
        <v>26</v>
      </c>
      <c r="D155" s="15">
        <f>-2700000*0.0075</f>
        <v>-20250</v>
      </c>
      <c r="E155" s="17">
        <f t="shared" si="2"/>
        <v>11342458</v>
      </c>
    </row>
    <row r="156" spans="1:5" x14ac:dyDescent="0.25">
      <c r="A156" s="8">
        <v>46023</v>
      </c>
      <c r="B156" s="6" t="s">
        <v>51</v>
      </c>
      <c r="C156" s="6" t="s">
        <v>33</v>
      </c>
      <c r="D156" s="15">
        <f>138505*0.5</f>
        <v>69252.5</v>
      </c>
      <c r="E156" s="17">
        <f t="shared" si="2"/>
        <v>11411710.5</v>
      </c>
    </row>
    <row r="157" spans="1:5" hidden="1" x14ac:dyDescent="0.25">
      <c r="A157" s="8">
        <v>46023</v>
      </c>
      <c r="B157" s="6" t="s">
        <v>51</v>
      </c>
      <c r="C157" s="6" t="s">
        <v>26</v>
      </c>
      <c r="D157" s="15">
        <f>-1870000*0.0075</f>
        <v>-14025</v>
      </c>
      <c r="E157" s="17">
        <f t="shared" si="2"/>
        <v>11397685.5</v>
      </c>
    </row>
    <row r="158" spans="1:5" x14ac:dyDescent="0.25">
      <c r="A158" s="8">
        <v>46023</v>
      </c>
      <c r="B158" s="6" t="s">
        <v>46</v>
      </c>
      <c r="C158" s="6" t="s">
        <v>33</v>
      </c>
      <c r="D158" s="15">
        <f>0.5*207700</f>
        <v>103850</v>
      </c>
      <c r="E158" s="17">
        <f t="shared" si="2"/>
        <v>11501535.5</v>
      </c>
    </row>
    <row r="159" spans="1:5" hidden="1" x14ac:dyDescent="0.25">
      <c r="A159" s="8">
        <v>46023</v>
      </c>
      <c r="B159" s="6" t="s">
        <v>46</v>
      </c>
      <c r="C159" s="6" t="s">
        <v>26</v>
      </c>
      <c r="D159" s="15">
        <f>-2605000*0.0075</f>
        <v>-19537.5</v>
      </c>
      <c r="E159" s="17">
        <f t="shared" si="2"/>
        <v>11481998</v>
      </c>
    </row>
    <row r="160" spans="1:5" x14ac:dyDescent="0.25">
      <c r="A160" s="8">
        <v>46023</v>
      </c>
      <c r="B160" s="6" t="s">
        <v>89</v>
      </c>
      <c r="C160" s="6" t="s">
        <v>33</v>
      </c>
      <c r="D160" s="15">
        <f>0.5*205350</f>
        <v>102675</v>
      </c>
      <c r="E160" s="17">
        <f t="shared" si="2"/>
        <v>11584673</v>
      </c>
    </row>
    <row r="161" spans="1:5" hidden="1" x14ac:dyDescent="0.25">
      <c r="A161" s="8">
        <v>46023</v>
      </c>
      <c r="B161" s="6" t="s">
        <v>47</v>
      </c>
      <c r="C161" s="6" t="s">
        <v>26</v>
      </c>
      <c r="D161" s="15">
        <f>-1800000*0.0075</f>
        <v>-13500</v>
      </c>
      <c r="E161" s="17">
        <f t="shared" si="2"/>
        <v>11571173</v>
      </c>
    </row>
    <row r="162" spans="1:5" x14ac:dyDescent="0.25">
      <c r="A162" s="8">
        <v>46023</v>
      </c>
      <c r="B162" s="6" t="s">
        <v>90</v>
      </c>
      <c r="C162" s="6" t="s">
        <v>33</v>
      </c>
      <c r="D162" s="15">
        <f>0.5*215500</f>
        <v>107750</v>
      </c>
      <c r="E162" s="17">
        <f t="shared" si="2"/>
        <v>11678923</v>
      </c>
    </row>
    <row r="163" spans="1:5" hidden="1" x14ac:dyDescent="0.25">
      <c r="A163" s="8">
        <v>46023</v>
      </c>
      <c r="B163" s="6" t="s">
        <v>48</v>
      </c>
      <c r="C163" s="6" t="s">
        <v>26</v>
      </c>
      <c r="D163" s="15">
        <f>-2200000*0.0075</f>
        <v>-16500</v>
      </c>
      <c r="E163" s="17">
        <f t="shared" si="2"/>
        <v>11662423</v>
      </c>
    </row>
    <row r="164" spans="1:5" x14ac:dyDescent="0.25">
      <c r="A164" s="8">
        <v>46023</v>
      </c>
      <c r="B164" s="6" t="s">
        <v>91</v>
      </c>
      <c r="C164" s="6" t="s">
        <v>33</v>
      </c>
      <c r="D164" s="15">
        <f>0.5*168700</f>
        <v>84350</v>
      </c>
      <c r="E164" s="17">
        <f t="shared" si="2"/>
        <v>11746773</v>
      </c>
    </row>
    <row r="165" spans="1:5" hidden="1" x14ac:dyDescent="0.25">
      <c r="A165" s="8">
        <v>46023</v>
      </c>
      <c r="B165" s="6" t="s">
        <v>49</v>
      </c>
      <c r="C165" s="6" t="s">
        <v>26</v>
      </c>
      <c r="D165" s="15">
        <f>-1650000*0.0075</f>
        <v>-12375</v>
      </c>
      <c r="E165" s="17">
        <f t="shared" si="2"/>
        <v>11734398</v>
      </c>
    </row>
    <row r="166" spans="1:5" x14ac:dyDescent="0.25">
      <c r="A166" s="8">
        <v>46023</v>
      </c>
      <c r="B166" s="6" t="s">
        <v>92</v>
      </c>
      <c r="C166" s="6" t="s">
        <v>33</v>
      </c>
      <c r="D166" s="15">
        <f>0.5*105700</f>
        <v>52850</v>
      </c>
      <c r="E166" s="17">
        <f t="shared" si="2"/>
        <v>11787248</v>
      </c>
    </row>
    <row r="167" spans="1:5" hidden="1" x14ac:dyDescent="0.25">
      <c r="A167" s="8">
        <v>46023</v>
      </c>
      <c r="B167" s="6" t="s">
        <v>58</v>
      </c>
      <c r="C167" s="6" t="s">
        <v>26</v>
      </c>
      <c r="D167" s="15">
        <f>-1180000*0.0075</f>
        <v>-8850</v>
      </c>
      <c r="E167" s="17">
        <f t="shared" si="2"/>
        <v>11778398</v>
      </c>
    </row>
    <row r="168" spans="1:5" x14ac:dyDescent="0.25">
      <c r="A168" s="8">
        <v>46023</v>
      </c>
      <c r="B168" s="6" t="s">
        <v>59</v>
      </c>
      <c r="C168" s="6" t="s">
        <v>33</v>
      </c>
      <c r="D168" s="15">
        <f>0.5*200*850*2.14</f>
        <v>181900</v>
      </c>
      <c r="E168" s="17">
        <f t="shared" si="2"/>
        <v>11960298</v>
      </c>
    </row>
    <row r="169" spans="1:5" hidden="1" x14ac:dyDescent="0.25">
      <c r="A169" s="8">
        <v>46023</v>
      </c>
      <c r="B169" s="6" t="s">
        <v>59</v>
      </c>
      <c r="C169" s="6" t="s">
        <v>26</v>
      </c>
      <c r="D169" s="15">
        <f>-2200000*0.0075</f>
        <v>-16500</v>
      </c>
      <c r="E169" s="17">
        <f t="shared" si="2"/>
        <v>11943798</v>
      </c>
    </row>
    <row r="170" spans="1:5" x14ac:dyDescent="0.25">
      <c r="A170" s="8">
        <v>46023</v>
      </c>
      <c r="B170" s="6" t="s">
        <v>93</v>
      </c>
      <c r="C170" s="6" t="s">
        <v>33</v>
      </c>
      <c r="D170" s="15">
        <f>0.5*150*900*2.14</f>
        <v>144450</v>
      </c>
      <c r="E170" s="17">
        <f t="shared" si="2"/>
        <v>12088248</v>
      </c>
    </row>
    <row r="171" spans="1:5" hidden="1" x14ac:dyDescent="0.25">
      <c r="A171" s="8">
        <v>46023</v>
      </c>
      <c r="B171" s="6" t="s">
        <v>50</v>
      </c>
      <c r="C171" s="6" t="s">
        <v>26</v>
      </c>
      <c r="D171" s="15">
        <f>-1650000*0.0075</f>
        <v>-12375</v>
      </c>
      <c r="E171" s="17">
        <f t="shared" si="2"/>
        <v>12075873</v>
      </c>
    </row>
    <row r="172" spans="1:5" x14ac:dyDescent="0.25">
      <c r="A172" s="8">
        <v>46023</v>
      </c>
      <c r="B172" s="6" t="s">
        <v>94</v>
      </c>
      <c r="C172" s="6" t="s">
        <v>33</v>
      </c>
      <c r="D172" s="15">
        <f>0.5*200*900*2.14</f>
        <v>192600</v>
      </c>
      <c r="E172" s="17">
        <f t="shared" si="2"/>
        <v>12268473</v>
      </c>
    </row>
    <row r="173" spans="1:5" hidden="1" x14ac:dyDescent="0.25">
      <c r="A173" s="8">
        <v>46023</v>
      </c>
      <c r="B173" s="6" t="s">
        <v>61</v>
      </c>
      <c r="C173" s="6" t="s">
        <v>26</v>
      </c>
      <c r="D173" s="15">
        <f>-2200000*0.0075</f>
        <v>-16500</v>
      </c>
      <c r="E173" s="17">
        <f t="shared" si="2"/>
        <v>12251973</v>
      </c>
    </row>
    <row r="174" spans="1:5" x14ac:dyDescent="0.25">
      <c r="A174" s="8">
        <v>46023</v>
      </c>
      <c r="B174" s="6" t="s">
        <v>95</v>
      </c>
      <c r="C174" s="6" t="s">
        <v>33</v>
      </c>
      <c r="D174" s="15">
        <f>0.5*156*900*2.14</f>
        <v>150228</v>
      </c>
      <c r="E174" s="17">
        <f t="shared" si="2"/>
        <v>12402201</v>
      </c>
    </row>
    <row r="175" spans="1:5" hidden="1" x14ac:dyDescent="0.25">
      <c r="A175" s="8">
        <v>46023</v>
      </c>
      <c r="B175" s="6" t="s">
        <v>62</v>
      </c>
      <c r="C175" s="6" t="s">
        <v>26</v>
      </c>
      <c r="D175" s="15">
        <f>-1740000*0.0075</f>
        <v>-13050</v>
      </c>
      <c r="E175" s="17">
        <f t="shared" si="2"/>
        <v>12389151</v>
      </c>
    </row>
    <row r="176" spans="1:5" x14ac:dyDescent="0.25">
      <c r="A176" s="8">
        <v>46023</v>
      </c>
      <c r="B176" s="6" t="s">
        <v>60</v>
      </c>
      <c r="C176" s="6" t="s">
        <v>33</v>
      </c>
      <c r="D176" s="15">
        <f>0.25*315*900*2.14</f>
        <v>151672.5</v>
      </c>
      <c r="E176" s="17">
        <f t="shared" si="2"/>
        <v>12540823.5</v>
      </c>
    </row>
    <row r="177" spans="1:5" hidden="1" x14ac:dyDescent="0.25">
      <c r="A177" s="8">
        <v>46023</v>
      </c>
      <c r="B177" s="6" t="s">
        <v>60</v>
      </c>
      <c r="C177" s="6" t="s">
        <v>26</v>
      </c>
      <c r="D177" s="15">
        <f>-3700000*0.0075</f>
        <v>-27750</v>
      </c>
      <c r="E177" s="17">
        <f t="shared" si="2"/>
        <v>12513073.5</v>
      </c>
    </row>
    <row r="178" spans="1:5" hidden="1" x14ac:dyDescent="0.25">
      <c r="A178" s="8">
        <v>46023</v>
      </c>
      <c r="B178" s="6" t="s">
        <v>63</v>
      </c>
      <c r="C178" s="6" t="s">
        <v>26</v>
      </c>
      <c r="D178" s="15">
        <f>-4650000*0.0075</f>
        <v>-34875</v>
      </c>
      <c r="E178" s="17">
        <f t="shared" si="2"/>
        <v>12478198.5</v>
      </c>
    </row>
    <row r="179" spans="1:5" hidden="1" x14ac:dyDescent="0.25">
      <c r="A179" s="8">
        <v>46023</v>
      </c>
      <c r="B179" s="6" t="s">
        <v>64</v>
      </c>
      <c r="C179" s="6" t="s">
        <v>26</v>
      </c>
      <c r="D179" s="15">
        <f>-4650000*0.0075</f>
        <v>-34875</v>
      </c>
      <c r="E179" s="17">
        <f t="shared" si="2"/>
        <v>12443323.5</v>
      </c>
    </row>
    <row r="180" spans="1:5" hidden="1" x14ac:dyDescent="0.25">
      <c r="A180" s="8">
        <v>46024</v>
      </c>
      <c r="B180" s="6" t="s">
        <v>18</v>
      </c>
      <c r="C180" s="6" t="s">
        <v>23</v>
      </c>
      <c r="D180" s="15">
        <v>-14000</v>
      </c>
      <c r="E180" s="17">
        <f t="shared" si="2"/>
        <v>12429323.5</v>
      </c>
    </row>
    <row r="181" spans="1:5" hidden="1" x14ac:dyDescent="0.25">
      <c r="A181" s="8">
        <v>46054</v>
      </c>
      <c r="B181" s="6" t="s">
        <v>63</v>
      </c>
      <c r="C181" s="6" t="s">
        <v>6</v>
      </c>
      <c r="D181" s="15">
        <v>-120000</v>
      </c>
      <c r="E181" s="17">
        <f t="shared" si="2"/>
        <v>12309323.5</v>
      </c>
    </row>
    <row r="182" spans="1:5" hidden="1" x14ac:dyDescent="0.25">
      <c r="A182" s="8">
        <v>46082</v>
      </c>
      <c r="B182" s="6" t="s">
        <v>63</v>
      </c>
      <c r="C182" s="6" t="s">
        <v>16</v>
      </c>
      <c r="D182" s="15">
        <v>-310000</v>
      </c>
      <c r="E182" s="17">
        <f t="shared" si="2"/>
        <v>11999323.5</v>
      </c>
    </row>
    <row r="183" spans="1:5" hidden="1" x14ac:dyDescent="0.25">
      <c r="A183" s="8">
        <v>46113</v>
      </c>
      <c r="B183" s="6" t="s">
        <v>63</v>
      </c>
      <c r="C183" s="6" t="s">
        <v>9</v>
      </c>
      <c r="D183" s="15">
        <f>-4100000*0.25</f>
        <v>-1025000</v>
      </c>
      <c r="E183" s="17">
        <f t="shared" si="2"/>
        <v>10974323.5</v>
      </c>
    </row>
    <row r="184" spans="1:5" hidden="1" x14ac:dyDescent="0.25">
      <c r="A184" s="8">
        <v>46174</v>
      </c>
      <c r="B184" s="6" t="s">
        <v>63</v>
      </c>
      <c r="C184" s="6" t="s">
        <v>8</v>
      </c>
      <c r="D184" s="15">
        <v>-120000</v>
      </c>
      <c r="E184" s="17">
        <f t="shared" si="2"/>
        <v>10854323.5</v>
      </c>
    </row>
    <row r="185" spans="1:5" hidden="1" x14ac:dyDescent="0.25">
      <c r="A185" s="8">
        <v>46174</v>
      </c>
      <c r="B185" s="6" t="s">
        <v>64</v>
      </c>
      <c r="C185" s="6" t="s">
        <v>6</v>
      </c>
      <c r="D185" s="15">
        <v>-120000</v>
      </c>
      <c r="E185" s="17">
        <f t="shared" si="2"/>
        <v>10734323.5</v>
      </c>
    </row>
    <row r="186" spans="1:5" x14ac:dyDescent="0.25">
      <c r="A186" s="8">
        <v>46204</v>
      </c>
      <c r="B186" s="6" t="s">
        <v>87</v>
      </c>
      <c r="C186" s="6" t="s">
        <v>34</v>
      </c>
      <c r="D186" s="15">
        <f>127765*0.5</f>
        <v>63882.5</v>
      </c>
      <c r="E186" s="17">
        <f t="shared" si="2"/>
        <v>10798206</v>
      </c>
    </row>
    <row r="187" spans="1:5" x14ac:dyDescent="0.25">
      <c r="A187" s="8">
        <v>46204</v>
      </c>
      <c r="B187" s="6" t="s">
        <v>88</v>
      </c>
      <c r="C187" s="6" t="s">
        <v>34</v>
      </c>
      <c r="D187" s="15">
        <f>220508*0.5</f>
        <v>110254</v>
      </c>
      <c r="E187" s="17">
        <f t="shared" si="2"/>
        <v>10908460</v>
      </c>
    </row>
    <row r="188" spans="1:5" x14ac:dyDescent="0.25">
      <c r="A188" s="8">
        <v>46204</v>
      </c>
      <c r="B188" s="6" t="s">
        <v>51</v>
      </c>
      <c r="C188" s="6" t="s">
        <v>34</v>
      </c>
      <c r="D188" s="15">
        <f>138505*0.5</f>
        <v>69252.5</v>
      </c>
      <c r="E188" s="17">
        <f t="shared" si="2"/>
        <v>10977712.5</v>
      </c>
    </row>
    <row r="189" spans="1:5" x14ac:dyDescent="0.25">
      <c r="A189" s="8">
        <v>46204</v>
      </c>
      <c r="B189" s="6" t="s">
        <v>46</v>
      </c>
      <c r="C189" s="6" t="s">
        <v>34</v>
      </c>
      <c r="D189" s="15">
        <f>0.5*207700</f>
        <v>103850</v>
      </c>
      <c r="E189" s="17">
        <f t="shared" si="2"/>
        <v>11081562.5</v>
      </c>
    </row>
    <row r="190" spans="1:5" x14ac:dyDescent="0.25">
      <c r="A190" s="8">
        <v>46204</v>
      </c>
      <c r="B190" s="6" t="s">
        <v>89</v>
      </c>
      <c r="C190" s="6" t="s">
        <v>34</v>
      </c>
      <c r="D190" s="15">
        <f>0.5*205350</f>
        <v>102675</v>
      </c>
      <c r="E190" s="17">
        <f t="shared" si="2"/>
        <v>11184237.5</v>
      </c>
    </row>
    <row r="191" spans="1:5" x14ac:dyDescent="0.25">
      <c r="A191" s="8">
        <v>46204</v>
      </c>
      <c r="B191" s="6" t="s">
        <v>90</v>
      </c>
      <c r="C191" s="6" t="s">
        <v>34</v>
      </c>
      <c r="D191" s="15">
        <f>0.5*215500</f>
        <v>107750</v>
      </c>
      <c r="E191" s="17">
        <f t="shared" si="2"/>
        <v>11291987.5</v>
      </c>
    </row>
    <row r="192" spans="1:5" x14ac:dyDescent="0.25">
      <c r="A192" s="8">
        <v>46204</v>
      </c>
      <c r="B192" s="6" t="s">
        <v>91</v>
      </c>
      <c r="C192" s="6" t="s">
        <v>34</v>
      </c>
      <c r="D192" s="15">
        <f>0.5*168700</f>
        <v>84350</v>
      </c>
      <c r="E192" s="17">
        <f t="shared" si="2"/>
        <v>11376337.5</v>
      </c>
    </row>
    <row r="193" spans="1:5" x14ac:dyDescent="0.25">
      <c r="A193" s="8">
        <v>46204</v>
      </c>
      <c r="B193" s="6" t="s">
        <v>92</v>
      </c>
      <c r="C193" s="6" t="s">
        <v>34</v>
      </c>
      <c r="D193" s="15">
        <f>0.5*105700</f>
        <v>52850</v>
      </c>
      <c r="E193" s="17">
        <f t="shared" si="2"/>
        <v>11429187.5</v>
      </c>
    </row>
    <row r="194" spans="1:5" x14ac:dyDescent="0.25">
      <c r="A194" s="8">
        <v>46204</v>
      </c>
      <c r="B194" s="6" t="s">
        <v>59</v>
      </c>
      <c r="C194" s="6" t="s">
        <v>34</v>
      </c>
      <c r="D194" s="15">
        <f>0.5*200*850*2.14</f>
        <v>181900</v>
      </c>
      <c r="E194" s="17">
        <f t="shared" si="2"/>
        <v>11611087.5</v>
      </c>
    </row>
    <row r="195" spans="1:5" x14ac:dyDescent="0.25">
      <c r="A195" s="8">
        <v>46204</v>
      </c>
      <c r="B195" s="6" t="s">
        <v>93</v>
      </c>
      <c r="C195" s="6" t="s">
        <v>34</v>
      </c>
      <c r="D195" s="15">
        <f>0.5*150*900*2.14</f>
        <v>144450</v>
      </c>
      <c r="E195" s="17">
        <f t="shared" si="2"/>
        <v>11755537.5</v>
      </c>
    </row>
    <row r="196" spans="1:5" x14ac:dyDescent="0.25">
      <c r="A196" s="8">
        <v>46204</v>
      </c>
      <c r="B196" s="6" t="s">
        <v>94</v>
      </c>
      <c r="C196" s="6" t="s">
        <v>34</v>
      </c>
      <c r="D196" s="15">
        <f>0.5*200*900*2.14</f>
        <v>192600</v>
      </c>
      <c r="E196" s="17">
        <f t="shared" si="2"/>
        <v>11948137.5</v>
      </c>
    </row>
    <row r="197" spans="1:5" x14ac:dyDescent="0.25">
      <c r="A197" s="8">
        <v>46204</v>
      </c>
      <c r="B197" s="6" t="s">
        <v>95</v>
      </c>
      <c r="C197" s="6" t="s">
        <v>34</v>
      </c>
      <c r="D197" s="15">
        <f>0.5*156*900*2.14</f>
        <v>150228</v>
      </c>
      <c r="E197" s="17">
        <f t="shared" ref="E197:E260" si="3">E196+D197</f>
        <v>12098365.5</v>
      </c>
    </row>
    <row r="198" spans="1:5" x14ac:dyDescent="0.25">
      <c r="A198" s="8">
        <v>46204</v>
      </c>
      <c r="B198" s="6" t="s">
        <v>60</v>
      </c>
      <c r="C198" s="6" t="s">
        <v>34</v>
      </c>
      <c r="D198" s="15">
        <f>0.5*315*900*2.14</f>
        <v>303345</v>
      </c>
      <c r="E198" s="17">
        <f t="shared" si="3"/>
        <v>12401710.5</v>
      </c>
    </row>
    <row r="199" spans="1:5" hidden="1" x14ac:dyDescent="0.25">
      <c r="A199" s="8">
        <v>46204</v>
      </c>
      <c r="B199" s="6" t="s">
        <v>63</v>
      </c>
      <c r="C199" s="6" t="s">
        <v>10</v>
      </c>
      <c r="D199" s="15">
        <f>-4100000*0.75</f>
        <v>-3075000</v>
      </c>
      <c r="E199" s="17">
        <f t="shared" si="3"/>
        <v>9326710.5</v>
      </c>
    </row>
    <row r="200" spans="1:5" x14ac:dyDescent="0.25">
      <c r="A200" s="8">
        <v>46204</v>
      </c>
      <c r="B200" s="6" t="s">
        <v>63</v>
      </c>
      <c r="C200" s="6" t="s">
        <v>34</v>
      </c>
      <c r="D200" s="15">
        <f>0.3*388*900*2.14</f>
        <v>224186.4</v>
      </c>
      <c r="E200" s="17">
        <f t="shared" si="3"/>
        <v>9550896.9000000004</v>
      </c>
    </row>
    <row r="201" spans="1:5" hidden="1" x14ac:dyDescent="0.25">
      <c r="A201" s="8">
        <v>46204</v>
      </c>
      <c r="B201" s="6" t="s">
        <v>64</v>
      </c>
      <c r="C201" s="6" t="s">
        <v>16</v>
      </c>
      <c r="D201" s="15">
        <v>-310000</v>
      </c>
      <c r="E201" s="17">
        <f t="shared" si="3"/>
        <v>9240896.9000000004</v>
      </c>
    </row>
    <row r="202" spans="1:5" hidden="1" x14ac:dyDescent="0.25">
      <c r="A202" s="8">
        <v>46235</v>
      </c>
      <c r="B202" s="6" t="s">
        <v>64</v>
      </c>
      <c r="C202" s="6" t="s">
        <v>9</v>
      </c>
      <c r="D202" s="15">
        <f>-4100000*0.25</f>
        <v>-1025000</v>
      </c>
      <c r="E202" s="17">
        <f t="shared" si="3"/>
        <v>8215896.9000000004</v>
      </c>
    </row>
    <row r="203" spans="1:5" hidden="1" x14ac:dyDescent="0.25">
      <c r="A203" s="8">
        <v>46296</v>
      </c>
      <c r="B203" s="6" t="s">
        <v>64</v>
      </c>
      <c r="C203" s="6" t="s">
        <v>8</v>
      </c>
      <c r="D203" s="15">
        <v>-120000</v>
      </c>
      <c r="E203" s="17">
        <f t="shared" si="3"/>
        <v>8095896.9000000004</v>
      </c>
    </row>
    <row r="204" spans="1:5" hidden="1" x14ac:dyDescent="0.25">
      <c r="A204" s="8">
        <v>46327</v>
      </c>
      <c r="B204" s="6" t="s">
        <v>64</v>
      </c>
      <c r="C204" s="6" t="s">
        <v>10</v>
      </c>
      <c r="D204" s="15">
        <f>-4100000*0.75</f>
        <v>-3075000</v>
      </c>
      <c r="E204" s="17">
        <f t="shared" si="3"/>
        <v>5020896.9000000004</v>
      </c>
    </row>
    <row r="205" spans="1:5" hidden="1" x14ac:dyDescent="0.25">
      <c r="A205" s="8">
        <v>46387</v>
      </c>
      <c r="B205" s="6" t="s">
        <v>55</v>
      </c>
      <c r="C205" s="7" t="s">
        <v>57</v>
      </c>
      <c r="D205" s="15">
        <f>-9300000*0.03*4*0.2</f>
        <v>-223200</v>
      </c>
      <c r="E205" s="17">
        <f t="shared" si="3"/>
        <v>4797696.9000000004</v>
      </c>
    </row>
    <row r="206" spans="1:5" hidden="1" x14ac:dyDescent="0.25">
      <c r="A206" s="8">
        <v>46387</v>
      </c>
      <c r="B206" s="6" t="s">
        <v>11</v>
      </c>
      <c r="C206" s="6" t="s">
        <v>42</v>
      </c>
      <c r="D206" s="15">
        <f>-300*6*10</f>
        <v>-18000</v>
      </c>
      <c r="E206" s="17">
        <f t="shared" si="3"/>
        <v>4779696.9000000004</v>
      </c>
    </row>
    <row r="207" spans="1:5" hidden="1" x14ac:dyDescent="0.25">
      <c r="A207" s="8">
        <v>46387</v>
      </c>
      <c r="B207" s="6" t="s">
        <v>51</v>
      </c>
      <c r="C207" s="6" t="s">
        <v>42</v>
      </c>
      <c r="D207" s="15">
        <f>-146*6*10</f>
        <v>-8760</v>
      </c>
      <c r="E207" s="17">
        <f t="shared" si="3"/>
        <v>4770936.9000000004</v>
      </c>
    </row>
    <row r="208" spans="1:5" hidden="1" x14ac:dyDescent="0.25">
      <c r="A208" s="8">
        <v>46387</v>
      </c>
      <c r="B208" s="6" t="s">
        <v>46</v>
      </c>
      <c r="C208" s="6" t="s">
        <v>42</v>
      </c>
      <c r="D208" s="15">
        <f>-235*6*10</f>
        <v>-14100</v>
      </c>
      <c r="E208" s="17">
        <f t="shared" si="3"/>
        <v>4756836.9000000004</v>
      </c>
    </row>
    <row r="209" spans="1:5" hidden="1" x14ac:dyDescent="0.25">
      <c r="A209" s="8">
        <v>46387</v>
      </c>
      <c r="B209" s="6" t="s">
        <v>47</v>
      </c>
      <c r="C209" s="6" t="s">
        <v>42</v>
      </c>
      <c r="D209" s="15">
        <f>-180*6*10</f>
        <v>-10800</v>
      </c>
      <c r="E209" s="17">
        <f t="shared" si="3"/>
        <v>4746036.9000000004</v>
      </c>
    </row>
    <row r="210" spans="1:5" hidden="1" x14ac:dyDescent="0.25">
      <c r="A210" s="8">
        <v>46387</v>
      </c>
      <c r="B210" s="6" t="s">
        <v>48</v>
      </c>
      <c r="C210" s="6" t="s">
        <v>42</v>
      </c>
      <c r="D210" s="15">
        <f>-200*6*10</f>
        <v>-12000</v>
      </c>
      <c r="E210" s="17">
        <f t="shared" si="3"/>
        <v>4734036.9000000004</v>
      </c>
    </row>
    <row r="211" spans="1:5" hidden="1" x14ac:dyDescent="0.25">
      <c r="A211" s="8">
        <v>46387</v>
      </c>
      <c r="B211" s="6" t="s">
        <v>49</v>
      </c>
      <c r="C211" s="6" t="s">
        <v>42</v>
      </c>
      <c r="D211" s="15">
        <f>-150*6*10</f>
        <v>-9000</v>
      </c>
      <c r="E211" s="17">
        <f t="shared" si="3"/>
        <v>4725036.9000000004</v>
      </c>
    </row>
    <row r="212" spans="1:5" hidden="1" x14ac:dyDescent="0.25">
      <c r="A212" s="8">
        <v>46387</v>
      </c>
      <c r="B212" s="6" t="s">
        <v>58</v>
      </c>
      <c r="C212" s="6" t="s">
        <v>42</v>
      </c>
      <c r="D212" s="15">
        <f>-115*6*10</f>
        <v>-6900</v>
      </c>
      <c r="E212" s="17">
        <f t="shared" si="3"/>
        <v>4718136.9000000004</v>
      </c>
    </row>
    <row r="213" spans="1:5" hidden="1" x14ac:dyDescent="0.25">
      <c r="A213" s="8">
        <v>46387</v>
      </c>
      <c r="B213" s="6" t="s">
        <v>59</v>
      </c>
      <c r="C213" s="6" t="s">
        <v>42</v>
      </c>
      <c r="D213" s="15">
        <f>-200*6*10</f>
        <v>-12000</v>
      </c>
      <c r="E213" s="17">
        <f t="shared" si="3"/>
        <v>4706136.9000000004</v>
      </c>
    </row>
    <row r="214" spans="1:5" hidden="1" x14ac:dyDescent="0.25">
      <c r="A214" s="8">
        <v>46387</v>
      </c>
      <c r="B214" s="6" t="s">
        <v>50</v>
      </c>
      <c r="C214" s="6" t="s">
        <v>42</v>
      </c>
      <c r="D214" s="15">
        <f>-150*6*10</f>
        <v>-9000</v>
      </c>
      <c r="E214" s="17">
        <f t="shared" si="3"/>
        <v>4697136.9000000004</v>
      </c>
    </row>
    <row r="215" spans="1:5" hidden="1" x14ac:dyDescent="0.25">
      <c r="A215" s="8">
        <v>46387</v>
      </c>
      <c r="B215" s="6" t="s">
        <v>61</v>
      </c>
      <c r="C215" s="6" t="s">
        <v>42</v>
      </c>
      <c r="D215" s="15">
        <f>-200*6*10</f>
        <v>-12000</v>
      </c>
      <c r="E215" s="17">
        <f t="shared" si="3"/>
        <v>4685136.9000000004</v>
      </c>
    </row>
    <row r="216" spans="1:5" hidden="1" x14ac:dyDescent="0.25">
      <c r="A216" s="8">
        <v>46387</v>
      </c>
      <c r="B216" s="6" t="s">
        <v>62</v>
      </c>
      <c r="C216" s="6" t="s">
        <v>42</v>
      </c>
      <c r="D216" s="15">
        <f>-156*6*10</f>
        <v>-9360</v>
      </c>
      <c r="E216" s="17">
        <f t="shared" si="3"/>
        <v>4675776.9000000004</v>
      </c>
    </row>
    <row r="217" spans="1:5" hidden="1" x14ac:dyDescent="0.25">
      <c r="A217" s="8">
        <v>46387</v>
      </c>
      <c r="B217" s="6" t="s">
        <v>60</v>
      </c>
      <c r="C217" s="6" t="s">
        <v>42</v>
      </c>
      <c r="D217" s="15">
        <f>-315*6*10</f>
        <v>-18900</v>
      </c>
      <c r="E217" s="17">
        <f t="shared" si="3"/>
        <v>4656876.9000000004</v>
      </c>
    </row>
    <row r="218" spans="1:5" hidden="1" x14ac:dyDescent="0.25">
      <c r="A218" s="8">
        <v>46387</v>
      </c>
      <c r="B218" s="6" t="s">
        <v>63</v>
      </c>
      <c r="C218" s="6" t="s">
        <v>42</v>
      </c>
      <c r="D218" s="15">
        <f>-388*6*10</f>
        <v>-23280</v>
      </c>
      <c r="E218" s="17">
        <f t="shared" si="3"/>
        <v>4633596.9000000004</v>
      </c>
    </row>
    <row r="219" spans="1:5" hidden="1" x14ac:dyDescent="0.25">
      <c r="A219" s="8">
        <v>46387</v>
      </c>
      <c r="B219" s="6" t="s">
        <v>64</v>
      </c>
      <c r="C219" s="6" t="s">
        <v>42</v>
      </c>
      <c r="D219" s="15">
        <f>-388*6*10</f>
        <v>-23280</v>
      </c>
      <c r="E219" s="17">
        <f t="shared" si="3"/>
        <v>4610316.9000000004</v>
      </c>
    </row>
    <row r="220" spans="1:5" x14ac:dyDescent="0.25">
      <c r="A220" s="8">
        <v>46388</v>
      </c>
      <c r="B220" s="6" t="s">
        <v>87</v>
      </c>
      <c r="C220" s="6" t="s">
        <v>35</v>
      </c>
      <c r="D220" s="15">
        <f>127765*0.5</f>
        <v>63882.5</v>
      </c>
      <c r="E220" s="17">
        <f t="shared" si="3"/>
        <v>4674199.4000000004</v>
      </c>
    </row>
    <row r="221" spans="1:5" hidden="1" x14ac:dyDescent="0.25">
      <c r="A221" s="8">
        <v>46388</v>
      </c>
      <c r="B221" s="6" t="s">
        <v>3</v>
      </c>
      <c r="C221" s="6" t="s">
        <v>27</v>
      </c>
      <c r="D221" s="15">
        <f>-1260000*0.01</f>
        <v>-12600</v>
      </c>
      <c r="E221" s="17">
        <f t="shared" si="3"/>
        <v>4661599.4000000004</v>
      </c>
    </row>
    <row r="222" spans="1:5" x14ac:dyDescent="0.25">
      <c r="A222" s="8">
        <v>46388</v>
      </c>
      <c r="B222" s="6" t="s">
        <v>88</v>
      </c>
      <c r="C222" s="6" t="s">
        <v>35</v>
      </c>
      <c r="D222" s="15">
        <f>220508*0.5</f>
        <v>110254</v>
      </c>
      <c r="E222" s="17">
        <f t="shared" si="3"/>
        <v>4771853.4000000004</v>
      </c>
    </row>
    <row r="223" spans="1:5" hidden="1" x14ac:dyDescent="0.25">
      <c r="A223" s="8">
        <v>46388</v>
      </c>
      <c r="B223" s="6" t="s">
        <v>11</v>
      </c>
      <c r="C223" s="6" t="s">
        <v>27</v>
      </c>
      <c r="D223" s="15">
        <f>-2700000*0.0075</f>
        <v>-20250</v>
      </c>
      <c r="E223" s="17">
        <f t="shared" si="3"/>
        <v>4751603.4000000004</v>
      </c>
    </row>
    <row r="224" spans="1:5" x14ac:dyDescent="0.25">
      <c r="A224" s="8">
        <v>46388</v>
      </c>
      <c r="B224" s="6" t="s">
        <v>51</v>
      </c>
      <c r="C224" s="6" t="s">
        <v>35</v>
      </c>
      <c r="D224" s="15">
        <f>138505*0.5</f>
        <v>69252.5</v>
      </c>
      <c r="E224" s="17">
        <f t="shared" si="3"/>
        <v>4820855.9000000004</v>
      </c>
    </row>
    <row r="225" spans="1:5" hidden="1" x14ac:dyDescent="0.25">
      <c r="A225" s="8">
        <v>46388</v>
      </c>
      <c r="B225" s="6" t="s">
        <v>51</v>
      </c>
      <c r="C225" s="6" t="s">
        <v>27</v>
      </c>
      <c r="D225" s="15">
        <f>-1870000*0.0075</f>
        <v>-14025</v>
      </c>
      <c r="E225" s="17">
        <f t="shared" si="3"/>
        <v>4806830.9000000004</v>
      </c>
    </row>
    <row r="226" spans="1:5" x14ac:dyDescent="0.25">
      <c r="A226" s="8">
        <v>46388</v>
      </c>
      <c r="B226" s="6" t="s">
        <v>46</v>
      </c>
      <c r="C226" s="6" t="s">
        <v>35</v>
      </c>
      <c r="D226" s="15">
        <f>0.5*207700</f>
        <v>103850</v>
      </c>
      <c r="E226" s="17">
        <f t="shared" si="3"/>
        <v>4910680.9000000004</v>
      </c>
    </row>
    <row r="227" spans="1:5" hidden="1" x14ac:dyDescent="0.25">
      <c r="A227" s="8">
        <v>46388</v>
      </c>
      <c r="B227" s="6" t="s">
        <v>46</v>
      </c>
      <c r="C227" s="6" t="s">
        <v>27</v>
      </c>
      <c r="D227" s="15">
        <f>-2605000*0.0075</f>
        <v>-19537.5</v>
      </c>
      <c r="E227" s="17">
        <f t="shared" si="3"/>
        <v>4891143.4000000004</v>
      </c>
    </row>
    <row r="228" spans="1:5" x14ac:dyDescent="0.25">
      <c r="A228" s="8">
        <v>46388</v>
      </c>
      <c r="B228" s="6" t="s">
        <v>89</v>
      </c>
      <c r="C228" s="6" t="s">
        <v>35</v>
      </c>
      <c r="D228" s="15">
        <f>0.5*205350</f>
        <v>102675</v>
      </c>
      <c r="E228" s="17">
        <f t="shared" si="3"/>
        <v>4993818.4000000004</v>
      </c>
    </row>
    <row r="229" spans="1:5" hidden="1" x14ac:dyDescent="0.25">
      <c r="A229" s="8">
        <v>46388</v>
      </c>
      <c r="B229" s="6" t="s">
        <v>47</v>
      </c>
      <c r="C229" s="6" t="s">
        <v>27</v>
      </c>
      <c r="D229" s="15">
        <f>-1800000*0.0075</f>
        <v>-13500</v>
      </c>
      <c r="E229" s="17">
        <f t="shared" si="3"/>
        <v>4980318.4000000004</v>
      </c>
    </row>
    <row r="230" spans="1:5" x14ac:dyDescent="0.25">
      <c r="A230" s="8">
        <v>46388</v>
      </c>
      <c r="B230" s="6" t="s">
        <v>90</v>
      </c>
      <c r="C230" s="6" t="s">
        <v>35</v>
      </c>
      <c r="D230" s="15">
        <f>0.5*215500</f>
        <v>107750</v>
      </c>
      <c r="E230" s="17">
        <f t="shared" si="3"/>
        <v>5088068.4000000004</v>
      </c>
    </row>
    <row r="231" spans="1:5" hidden="1" x14ac:dyDescent="0.25">
      <c r="A231" s="8">
        <v>46388</v>
      </c>
      <c r="B231" s="6" t="s">
        <v>48</v>
      </c>
      <c r="C231" s="6" t="s">
        <v>27</v>
      </c>
      <c r="D231" s="15">
        <f>-2200000*0.0075</f>
        <v>-16500</v>
      </c>
      <c r="E231" s="17">
        <f t="shared" si="3"/>
        <v>5071568.4000000004</v>
      </c>
    </row>
    <row r="232" spans="1:5" x14ac:dyDescent="0.25">
      <c r="A232" s="8">
        <v>46388</v>
      </c>
      <c r="B232" s="6" t="s">
        <v>91</v>
      </c>
      <c r="C232" s="6" t="s">
        <v>35</v>
      </c>
      <c r="D232" s="15">
        <f>0.5*168700</f>
        <v>84350</v>
      </c>
      <c r="E232" s="17">
        <f t="shared" si="3"/>
        <v>5155918.4000000004</v>
      </c>
    </row>
    <row r="233" spans="1:5" hidden="1" x14ac:dyDescent="0.25">
      <c r="A233" s="8">
        <v>46388</v>
      </c>
      <c r="B233" s="6" t="s">
        <v>49</v>
      </c>
      <c r="C233" s="6" t="s">
        <v>27</v>
      </c>
      <c r="D233" s="15">
        <f>-1650000*0.0075</f>
        <v>-12375</v>
      </c>
      <c r="E233" s="17">
        <f t="shared" si="3"/>
        <v>5143543.4000000004</v>
      </c>
    </row>
    <row r="234" spans="1:5" x14ac:dyDescent="0.25">
      <c r="A234" s="8">
        <v>46388</v>
      </c>
      <c r="B234" s="6" t="s">
        <v>92</v>
      </c>
      <c r="C234" s="6" t="s">
        <v>35</v>
      </c>
      <c r="D234" s="15">
        <f>0.5*105700</f>
        <v>52850</v>
      </c>
      <c r="E234" s="17">
        <f t="shared" si="3"/>
        <v>5196393.4000000004</v>
      </c>
    </row>
    <row r="235" spans="1:5" hidden="1" x14ac:dyDescent="0.25">
      <c r="A235" s="8">
        <v>46388</v>
      </c>
      <c r="B235" s="6" t="s">
        <v>58</v>
      </c>
      <c r="C235" s="6" t="s">
        <v>27</v>
      </c>
      <c r="D235" s="15">
        <f>-1180000*0.0075</f>
        <v>-8850</v>
      </c>
      <c r="E235" s="17">
        <f t="shared" si="3"/>
        <v>5187543.4000000004</v>
      </c>
    </row>
    <row r="236" spans="1:5" x14ac:dyDescent="0.25">
      <c r="A236" s="8">
        <v>46388</v>
      </c>
      <c r="B236" s="6" t="s">
        <v>59</v>
      </c>
      <c r="C236" s="6" t="s">
        <v>35</v>
      </c>
      <c r="D236" s="15">
        <f>0.5*200*850*2.14</f>
        <v>181900</v>
      </c>
      <c r="E236" s="17">
        <f t="shared" si="3"/>
        <v>5369443.4000000004</v>
      </c>
    </row>
    <row r="237" spans="1:5" hidden="1" x14ac:dyDescent="0.25">
      <c r="A237" s="8">
        <v>46388</v>
      </c>
      <c r="B237" s="6" t="s">
        <v>59</v>
      </c>
      <c r="C237" s="6" t="s">
        <v>27</v>
      </c>
      <c r="D237" s="15">
        <f>-2200000*0.0075</f>
        <v>-16500</v>
      </c>
      <c r="E237" s="17">
        <f t="shared" si="3"/>
        <v>5352943.4000000004</v>
      </c>
    </row>
    <row r="238" spans="1:5" x14ac:dyDescent="0.25">
      <c r="A238" s="8">
        <v>46388</v>
      </c>
      <c r="B238" s="6" t="s">
        <v>93</v>
      </c>
      <c r="C238" s="6" t="s">
        <v>35</v>
      </c>
      <c r="D238" s="15">
        <f>0.5*150*900*2.14</f>
        <v>144450</v>
      </c>
      <c r="E238" s="17">
        <f t="shared" si="3"/>
        <v>5497393.4000000004</v>
      </c>
    </row>
    <row r="239" spans="1:5" hidden="1" x14ac:dyDescent="0.25">
      <c r="A239" s="8">
        <v>46388</v>
      </c>
      <c r="B239" s="6" t="s">
        <v>50</v>
      </c>
      <c r="C239" s="6" t="s">
        <v>27</v>
      </c>
      <c r="D239" s="15">
        <f>-1650000*0.0075</f>
        <v>-12375</v>
      </c>
      <c r="E239" s="17">
        <f t="shared" si="3"/>
        <v>5485018.4000000004</v>
      </c>
    </row>
    <row r="240" spans="1:5" x14ac:dyDescent="0.25">
      <c r="A240" s="8">
        <v>46388</v>
      </c>
      <c r="B240" s="6" t="s">
        <v>94</v>
      </c>
      <c r="C240" s="6" t="s">
        <v>35</v>
      </c>
      <c r="D240" s="15">
        <f>0.5*200*900*2.14</f>
        <v>192600</v>
      </c>
      <c r="E240" s="17">
        <f t="shared" si="3"/>
        <v>5677618.4000000004</v>
      </c>
    </row>
    <row r="241" spans="1:5" hidden="1" x14ac:dyDescent="0.25">
      <c r="A241" s="8">
        <v>46388</v>
      </c>
      <c r="B241" s="6" t="s">
        <v>61</v>
      </c>
      <c r="C241" s="6" t="s">
        <v>27</v>
      </c>
      <c r="D241" s="15">
        <f>-2200000*0.0075</f>
        <v>-16500</v>
      </c>
      <c r="E241" s="17">
        <f t="shared" si="3"/>
        <v>5661118.4000000004</v>
      </c>
    </row>
    <row r="242" spans="1:5" x14ac:dyDescent="0.25">
      <c r="A242" s="8">
        <v>46388</v>
      </c>
      <c r="B242" s="6" t="s">
        <v>95</v>
      </c>
      <c r="C242" s="6" t="s">
        <v>35</v>
      </c>
      <c r="D242" s="15">
        <f>0.5*156*900*2.14</f>
        <v>150228</v>
      </c>
      <c r="E242" s="17">
        <f t="shared" si="3"/>
        <v>5811346.4000000004</v>
      </c>
    </row>
    <row r="243" spans="1:5" hidden="1" x14ac:dyDescent="0.25">
      <c r="A243" s="8">
        <v>46388</v>
      </c>
      <c r="B243" s="6" t="s">
        <v>62</v>
      </c>
      <c r="C243" s="6" t="s">
        <v>27</v>
      </c>
      <c r="D243" s="15">
        <f>-1740000*0.0075</f>
        <v>-13050</v>
      </c>
      <c r="E243" s="17">
        <f t="shared" si="3"/>
        <v>5798296.4000000004</v>
      </c>
    </row>
    <row r="244" spans="1:5" x14ac:dyDescent="0.25">
      <c r="A244" s="8">
        <v>46388</v>
      </c>
      <c r="B244" s="6" t="s">
        <v>60</v>
      </c>
      <c r="C244" s="6" t="s">
        <v>35</v>
      </c>
      <c r="D244" s="15">
        <f>0.5*315*900*2.14</f>
        <v>303345</v>
      </c>
      <c r="E244" s="17">
        <f t="shared" si="3"/>
        <v>6101641.4000000004</v>
      </c>
    </row>
    <row r="245" spans="1:5" hidden="1" x14ac:dyDescent="0.25">
      <c r="A245" s="8">
        <v>46388</v>
      </c>
      <c r="B245" s="6" t="s">
        <v>60</v>
      </c>
      <c r="C245" s="6" t="s">
        <v>27</v>
      </c>
      <c r="D245" s="15">
        <f>-3700000*0.0075</f>
        <v>-27750</v>
      </c>
      <c r="E245" s="17">
        <f t="shared" si="3"/>
        <v>6073891.4000000004</v>
      </c>
    </row>
    <row r="246" spans="1:5" x14ac:dyDescent="0.25">
      <c r="A246" s="8">
        <v>46388</v>
      </c>
      <c r="B246" s="6" t="s">
        <v>63</v>
      </c>
      <c r="C246" s="6" t="s">
        <v>35</v>
      </c>
      <c r="D246" s="15">
        <f>0.5*388*900*2.14</f>
        <v>373644</v>
      </c>
      <c r="E246" s="17">
        <f t="shared" si="3"/>
        <v>6447535.4000000004</v>
      </c>
    </row>
    <row r="247" spans="1:5" hidden="1" x14ac:dyDescent="0.25">
      <c r="A247" s="8">
        <v>46388</v>
      </c>
      <c r="B247" s="6" t="s">
        <v>63</v>
      </c>
      <c r="C247" s="6" t="s">
        <v>27</v>
      </c>
      <c r="D247" s="15">
        <f>-3880000*0.0075</f>
        <v>-29100</v>
      </c>
      <c r="E247" s="17">
        <f t="shared" si="3"/>
        <v>6418435.4000000004</v>
      </c>
    </row>
    <row r="248" spans="1:5" x14ac:dyDescent="0.25">
      <c r="A248" s="8">
        <v>46388</v>
      </c>
      <c r="B248" s="6" t="s">
        <v>64</v>
      </c>
      <c r="C248" s="6" t="s">
        <v>35</v>
      </c>
      <c r="D248" s="15">
        <f>0.3*388*900*2.14</f>
        <v>224186.4</v>
      </c>
      <c r="E248" s="17">
        <f t="shared" si="3"/>
        <v>6642621.8000000007</v>
      </c>
    </row>
    <row r="249" spans="1:5" hidden="1" x14ac:dyDescent="0.25">
      <c r="A249" s="8">
        <v>46388</v>
      </c>
      <c r="B249" s="6" t="s">
        <v>64</v>
      </c>
      <c r="C249" s="6" t="s">
        <v>27</v>
      </c>
      <c r="D249" s="15">
        <f>-3880000*0.0075</f>
        <v>-29100</v>
      </c>
      <c r="E249" s="17">
        <f t="shared" si="3"/>
        <v>6613521.8000000007</v>
      </c>
    </row>
    <row r="250" spans="1:5" x14ac:dyDescent="0.25">
      <c r="A250" s="8">
        <v>46569</v>
      </c>
      <c r="B250" s="6" t="s">
        <v>87</v>
      </c>
      <c r="C250" s="6" t="s">
        <v>36</v>
      </c>
      <c r="D250" s="15">
        <f>127765*0.5</f>
        <v>63882.5</v>
      </c>
      <c r="E250" s="17">
        <f t="shared" si="3"/>
        <v>6677404.3000000007</v>
      </c>
    </row>
    <row r="251" spans="1:5" x14ac:dyDescent="0.25">
      <c r="A251" s="8">
        <v>46569</v>
      </c>
      <c r="B251" s="6" t="s">
        <v>88</v>
      </c>
      <c r="C251" s="6" t="s">
        <v>36</v>
      </c>
      <c r="D251" s="15">
        <f>220508*0.5</f>
        <v>110254</v>
      </c>
      <c r="E251" s="17">
        <f t="shared" si="3"/>
        <v>6787658.3000000007</v>
      </c>
    </row>
    <row r="252" spans="1:5" x14ac:dyDescent="0.25">
      <c r="A252" s="8">
        <v>46569</v>
      </c>
      <c r="B252" s="6" t="s">
        <v>51</v>
      </c>
      <c r="C252" s="6" t="s">
        <v>36</v>
      </c>
      <c r="D252" s="15">
        <f>138505*0.5</f>
        <v>69252.5</v>
      </c>
      <c r="E252" s="17">
        <f t="shared" si="3"/>
        <v>6856910.8000000007</v>
      </c>
    </row>
    <row r="253" spans="1:5" x14ac:dyDescent="0.25">
      <c r="A253" s="8">
        <v>46569</v>
      </c>
      <c r="B253" s="6" t="s">
        <v>46</v>
      </c>
      <c r="C253" s="6" t="s">
        <v>36</v>
      </c>
      <c r="D253" s="15">
        <f>0.5*207700</f>
        <v>103850</v>
      </c>
      <c r="E253" s="17">
        <f t="shared" si="3"/>
        <v>6960760.8000000007</v>
      </c>
    </row>
    <row r="254" spans="1:5" x14ac:dyDescent="0.25">
      <c r="A254" s="8">
        <v>46569</v>
      </c>
      <c r="B254" s="6" t="s">
        <v>89</v>
      </c>
      <c r="C254" s="6" t="s">
        <v>36</v>
      </c>
      <c r="D254" s="15">
        <f>0.5*205350</f>
        <v>102675</v>
      </c>
      <c r="E254" s="17">
        <f t="shared" si="3"/>
        <v>7063435.8000000007</v>
      </c>
    </row>
    <row r="255" spans="1:5" x14ac:dyDescent="0.25">
      <c r="A255" s="8">
        <v>46569</v>
      </c>
      <c r="B255" s="6" t="s">
        <v>90</v>
      </c>
      <c r="C255" s="6" t="s">
        <v>36</v>
      </c>
      <c r="D255" s="15">
        <f>0.5*215500</f>
        <v>107750</v>
      </c>
      <c r="E255" s="17">
        <f t="shared" si="3"/>
        <v>7171185.8000000007</v>
      </c>
    </row>
    <row r="256" spans="1:5" x14ac:dyDescent="0.25">
      <c r="A256" s="8">
        <v>46569</v>
      </c>
      <c r="B256" s="6" t="s">
        <v>91</v>
      </c>
      <c r="C256" s="6" t="s">
        <v>36</v>
      </c>
      <c r="D256" s="15">
        <f>0.5*168700</f>
        <v>84350</v>
      </c>
      <c r="E256" s="17">
        <f t="shared" si="3"/>
        <v>7255535.8000000007</v>
      </c>
    </row>
    <row r="257" spans="1:5" x14ac:dyDescent="0.25">
      <c r="A257" s="8">
        <v>46569</v>
      </c>
      <c r="B257" s="6" t="s">
        <v>92</v>
      </c>
      <c r="C257" s="6" t="s">
        <v>36</v>
      </c>
      <c r="D257" s="15">
        <f>0.5*105700</f>
        <v>52850</v>
      </c>
      <c r="E257" s="17">
        <f t="shared" si="3"/>
        <v>7308385.8000000007</v>
      </c>
    </row>
    <row r="258" spans="1:5" x14ac:dyDescent="0.25">
      <c r="A258" s="8">
        <v>46569</v>
      </c>
      <c r="B258" s="6" t="s">
        <v>59</v>
      </c>
      <c r="C258" s="6" t="s">
        <v>36</v>
      </c>
      <c r="D258" s="15">
        <f>0.5*200*850*2.14</f>
        <v>181900</v>
      </c>
      <c r="E258" s="17">
        <f t="shared" si="3"/>
        <v>7490285.8000000007</v>
      </c>
    </row>
    <row r="259" spans="1:5" x14ac:dyDescent="0.25">
      <c r="A259" s="8">
        <v>46569</v>
      </c>
      <c r="B259" s="6" t="s">
        <v>93</v>
      </c>
      <c r="C259" s="6" t="s">
        <v>36</v>
      </c>
      <c r="D259" s="15">
        <f>0.5*150*900*2.14</f>
        <v>144450</v>
      </c>
      <c r="E259" s="17">
        <f t="shared" si="3"/>
        <v>7634735.8000000007</v>
      </c>
    </row>
    <row r="260" spans="1:5" x14ac:dyDescent="0.25">
      <c r="A260" s="8">
        <v>46569</v>
      </c>
      <c r="B260" s="6" t="s">
        <v>94</v>
      </c>
      <c r="C260" s="6" t="s">
        <v>36</v>
      </c>
      <c r="D260" s="15">
        <f>0.5*200*900*2.14</f>
        <v>192600</v>
      </c>
      <c r="E260" s="17">
        <f t="shared" si="3"/>
        <v>7827335.8000000007</v>
      </c>
    </row>
    <row r="261" spans="1:5" x14ac:dyDescent="0.25">
      <c r="A261" s="8">
        <v>46569</v>
      </c>
      <c r="B261" s="6" t="s">
        <v>95</v>
      </c>
      <c r="C261" s="6" t="s">
        <v>36</v>
      </c>
      <c r="D261" s="15">
        <f>0.5*156*900*2.14</f>
        <v>150228</v>
      </c>
      <c r="E261" s="17">
        <f t="shared" ref="E261:E309" si="4">E260+D261</f>
        <v>7977563.8000000007</v>
      </c>
    </row>
    <row r="262" spans="1:5" x14ac:dyDescent="0.25">
      <c r="A262" s="8">
        <v>46569</v>
      </c>
      <c r="B262" s="6" t="s">
        <v>60</v>
      </c>
      <c r="C262" s="6" t="s">
        <v>36</v>
      </c>
      <c r="D262" s="15">
        <f>0.5*315*900*2.14</f>
        <v>303345</v>
      </c>
      <c r="E262" s="17">
        <f t="shared" si="4"/>
        <v>8280908.8000000007</v>
      </c>
    </row>
    <row r="263" spans="1:5" x14ac:dyDescent="0.25">
      <c r="A263" s="8">
        <v>46569</v>
      </c>
      <c r="B263" s="6" t="s">
        <v>63</v>
      </c>
      <c r="C263" s="6" t="s">
        <v>36</v>
      </c>
      <c r="D263" s="15">
        <f>0.5*388*900*2.14</f>
        <v>373644</v>
      </c>
      <c r="E263" s="17">
        <f t="shared" si="4"/>
        <v>8654552.8000000007</v>
      </c>
    </row>
    <row r="264" spans="1:5" x14ac:dyDescent="0.25">
      <c r="A264" s="8">
        <v>46569</v>
      </c>
      <c r="B264" s="6" t="s">
        <v>64</v>
      </c>
      <c r="C264" s="6" t="s">
        <v>36</v>
      </c>
      <c r="D264" s="15">
        <f>0.5*388*900*2.14</f>
        <v>373644</v>
      </c>
      <c r="E264" s="17">
        <f t="shared" si="4"/>
        <v>9028196.8000000007</v>
      </c>
    </row>
    <row r="265" spans="1:5" hidden="1" x14ac:dyDescent="0.25">
      <c r="A265" s="8">
        <v>46752</v>
      </c>
      <c r="B265" s="6" t="s">
        <v>56</v>
      </c>
      <c r="C265" s="7" t="s">
        <v>57</v>
      </c>
      <c r="D265" s="15">
        <f>-9300000*0.03*4*0.2</f>
        <v>-223200</v>
      </c>
      <c r="E265" s="17">
        <f t="shared" si="4"/>
        <v>8804996.8000000007</v>
      </c>
    </row>
    <row r="266" spans="1:5" hidden="1" x14ac:dyDescent="0.25">
      <c r="A266" s="8">
        <v>46752</v>
      </c>
      <c r="B266" s="6" t="s">
        <v>11</v>
      </c>
      <c r="C266" s="6" t="s">
        <v>43</v>
      </c>
      <c r="D266" s="15">
        <f>-300*6*10</f>
        <v>-18000</v>
      </c>
      <c r="E266" s="17">
        <f t="shared" si="4"/>
        <v>8786996.8000000007</v>
      </c>
    </row>
    <row r="267" spans="1:5" hidden="1" x14ac:dyDescent="0.25">
      <c r="A267" s="8">
        <v>46752</v>
      </c>
      <c r="B267" s="6" t="s">
        <v>51</v>
      </c>
      <c r="C267" s="6" t="s">
        <v>43</v>
      </c>
      <c r="D267" s="15">
        <f>-146*6*10</f>
        <v>-8760</v>
      </c>
      <c r="E267" s="17">
        <f t="shared" si="4"/>
        <v>8778236.8000000007</v>
      </c>
    </row>
    <row r="268" spans="1:5" hidden="1" x14ac:dyDescent="0.25">
      <c r="A268" s="8">
        <v>46752</v>
      </c>
      <c r="B268" s="6" t="s">
        <v>46</v>
      </c>
      <c r="C268" s="6" t="s">
        <v>43</v>
      </c>
      <c r="D268" s="15">
        <f>-235*6*10</f>
        <v>-14100</v>
      </c>
      <c r="E268" s="17">
        <f t="shared" si="4"/>
        <v>8764136.8000000007</v>
      </c>
    </row>
    <row r="269" spans="1:5" hidden="1" x14ac:dyDescent="0.25">
      <c r="A269" s="8">
        <v>46752</v>
      </c>
      <c r="B269" s="6" t="s">
        <v>47</v>
      </c>
      <c r="C269" s="6" t="s">
        <v>43</v>
      </c>
      <c r="D269" s="15">
        <f>-180*6*10</f>
        <v>-10800</v>
      </c>
      <c r="E269" s="17">
        <f t="shared" si="4"/>
        <v>8753336.8000000007</v>
      </c>
    </row>
    <row r="270" spans="1:5" hidden="1" x14ac:dyDescent="0.25">
      <c r="A270" s="8">
        <v>46752</v>
      </c>
      <c r="B270" s="6" t="s">
        <v>48</v>
      </c>
      <c r="C270" s="6" t="s">
        <v>43</v>
      </c>
      <c r="D270" s="15">
        <f>-200*6*10</f>
        <v>-12000</v>
      </c>
      <c r="E270" s="17">
        <f t="shared" si="4"/>
        <v>8741336.8000000007</v>
      </c>
    </row>
    <row r="271" spans="1:5" hidden="1" x14ac:dyDescent="0.25">
      <c r="A271" s="8">
        <v>46752</v>
      </c>
      <c r="B271" s="6" t="s">
        <v>49</v>
      </c>
      <c r="C271" s="6" t="s">
        <v>43</v>
      </c>
      <c r="D271" s="15">
        <f>-150*6*10</f>
        <v>-9000</v>
      </c>
      <c r="E271" s="17">
        <f t="shared" si="4"/>
        <v>8732336.8000000007</v>
      </c>
    </row>
    <row r="272" spans="1:5" hidden="1" x14ac:dyDescent="0.25">
      <c r="A272" s="8">
        <v>46752</v>
      </c>
      <c r="B272" s="6" t="s">
        <v>58</v>
      </c>
      <c r="C272" s="6" t="s">
        <v>43</v>
      </c>
      <c r="D272" s="15">
        <f>-115*6*10</f>
        <v>-6900</v>
      </c>
      <c r="E272" s="17">
        <f t="shared" si="4"/>
        <v>8725436.8000000007</v>
      </c>
    </row>
    <row r="273" spans="1:5" hidden="1" x14ac:dyDescent="0.25">
      <c r="A273" s="8">
        <v>46752</v>
      </c>
      <c r="B273" s="6" t="s">
        <v>59</v>
      </c>
      <c r="C273" s="6" t="s">
        <v>43</v>
      </c>
      <c r="D273" s="15">
        <f>-200*6*10</f>
        <v>-12000</v>
      </c>
      <c r="E273" s="17">
        <f t="shared" si="4"/>
        <v>8713436.8000000007</v>
      </c>
    </row>
    <row r="274" spans="1:5" hidden="1" x14ac:dyDescent="0.25">
      <c r="A274" s="8">
        <v>46752</v>
      </c>
      <c r="B274" s="6" t="s">
        <v>50</v>
      </c>
      <c r="C274" s="6" t="s">
        <v>43</v>
      </c>
      <c r="D274" s="15">
        <f>-150*6*10</f>
        <v>-9000</v>
      </c>
      <c r="E274" s="17">
        <f t="shared" si="4"/>
        <v>8704436.8000000007</v>
      </c>
    </row>
    <row r="275" spans="1:5" hidden="1" x14ac:dyDescent="0.25">
      <c r="A275" s="8">
        <v>46752</v>
      </c>
      <c r="B275" s="6" t="s">
        <v>61</v>
      </c>
      <c r="C275" s="6" t="s">
        <v>43</v>
      </c>
      <c r="D275" s="15">
        <f>-200*6*10</f>
        <v>-12000</v>
      </c>
      <c r="E275" s="17">
        <f t="shared" si="4"/>
        <v>8692436.8000000007</v>
      </c>
    </row>
    <row r="276" spans="1:5" hidden="1" x14ac:dyDescent="0.25">
      <c r="A276" s="8">
        <v>46752</v>
      </c>
      <c r="B276" s="6" t="s">
        <v>62</v>
      </c>
      <c r="C276" s="6" t="s">
        <v>43</v>
      </c>
      <c r="D276" s="15">
        <f>-156*6*10</f>
        <v>-9360</v>
      </c>
      <c r="E276" s="17">
        <f t="shared" si="4"/>
        <v>8683076.8000000007</v>
      </c>
    </row>
    <row r="277" spans="1:5" hidden="1" x14ac:dyDescent="0.25">
      <c r="A277" s="8">
        <v>46752</v>
      </c>
      <c r="B277" s="6" t="s">
        <v>60</v>
      </c>
      <c r="C277" s="6" t="s">
        <v>43</v>
      </c>
      <c r="D277" s="15">
        <f>-315*6*10</f>
        <v>-18900</v>
      </c>
      <c r="E277" s="17">
        <f t="shared" si="4"/>
        <v>8664176.8000000007</v>
      </c>
    </row>
    <row r="278" spans="1:5" hidden="1" x14ac:dyDescent="0.25">
      <c r="A278" s="8">
        <v>46752</v>
      </c>
      <c r="B278" s="6" t="s">
        <v>63</v>
      </c>
      <c r="C278" s="6" t="s">
        <v>43</v>
      </c>
      <c r="D278" s="15">
        <f>-388*6*10</f>
        <v>-23280</v>
      </c>
      <c r="E278" s="17">
        <f t="shared" si="4"/>
        <v>8640896.8000000007</v>
      </c>
    </row>
    <row r="279" spans="1:5" hidden="1" x14ac:dyDescent="0.25">
      <c r="A279" s="8">
        <v>46752</v>
      </c>
      <c r="B279" s="6" t="s">
        <v>64</v>
      </c>
      <c r="C279" s="6" t="s">
        <v>43</v>
      </c>
      <c r="D279" s="15">
        <f>-388*6*10</f>
        <v>-23280</v>
      </c>
      <c r="E279" s="17">
        <f t="shared" si="4"/>
        <v>8617616.8000000007</v>
      </c>
    </row>
    <row r="280" spans="1:5" x14ac:dyDescent="0.25">
      <c r="A280" s="8">
        <v>46753</v>
      </c>
      <c r="B280" s="6" t="s">
        <v>87</v>
      </c>
      <c r="C280" s="6" t="s">
        <v>37</v>
      </c>
      <c r="D280" s="15">
        <f>127765*0.5</f>
        <v>63882.5</v>
      </c>
      <c r="E280" s="17">
        <f t="shared" si="4"/>
        <v>8681499.3000000007</v>
      </c>
    </row>
    <row r="281" spans="1:5" hidden="1" x14ac:dyDescent="0.25">
      <c r="A281" s="8">
        <v>46753</v>
      </c>
      <c r="B281" s="6" t="s">
        <v>3</v>
      </c>
      <c r="C281" s="6" t="s">
        <v>38</v>
      </c>
      <c r="D281" s="15">
        <f>-1260000*0.01</f>
        <v>-12600</v>
      </c>
      <c r="E281" s="17">
        <f t="shared" si="4"/>
        <v>8668899.3000000007</v>
      </c>
    </row>
    <row r="282" spans="1:5" x14ac:dyDescent="0.25">
      <c r="A282" s="8">
        <v>46753</v>
      </c>
      <c r="B282" s="6" t="s">
        <v>88</v>
      </c>
      <c r="C282" s="6" t="s">
        <v>37</v>
      </c>
      <c r="D282" s="15">
        <f>220508*0.5</f>
        <v>110254</v>
      </c>
      <c r="E282" s="17">
        <f t="shared" si="4"/>
        <v>8779153.3000000007</v>
      </c>
    </row>
    <row r="283" spans="1:5" hidden="1" x14ac:dyDescent="0.25">
      <c r="A283" s="8">
        <v>46753</v>
      </c>
      <c r="B283" s="6" t="s">
        <v>11</v>
      </c>
      <c r="C283" s="6" t="s">
        <v>38</v>
      </c>
      <c r="D283" s="15">
        <f>-2700000*0.0075</f>
        <v>-20250</v>
      </c>
      <c r="E283" s="17">
        <f t="shared" si="4"/>
        <v>8758903.3000000007</v>
      </c>
    </row>
    <row r="284" spans="1:5" x14ac:dyDescent="0.25">
      <c r="A284" s="8">
        <v>46753</v>
      </c>
      <c r="B284" s="6" t="s">
        <v>51</v>
      </c>
      <c r="C284" s="6" t="s">
        <v>37</v>
      </c>
      <c r="D284" s="15">
        <f>138505*0.5</f>
        <v>69252.5</v>
      </c>
      <c r="E284" s="17">
        <f t="shared" si="4"/>
        <v>8828155.8000000007</v>
      </c>
    </row>
    <row r="285" spans="1:5" hidden="1" x14ac:dyDescent="0.25">
      <c r="A285" s="8">
        <v>46753</v>
      </c>
      <c r="B285" s="6" t="s">
        <v>51</v>
      </c>
      <c r="C285" s="6" t="s">
        <v>38</v>
      </c>
      <c r="D285" s="15">
        <f>-1870000*0.0075</f>
        <v>-14025</v>
      </c>
      <c r="E285" s="17">
        <f t="shared" si="4"/>
        <v>8814130.8000000007</v>
      </c>
    </row>
    <row r="286" spans="1:5" x14ac:dyDescent="0.25">
      <c r="A286" s="8">
        <v>46753</v>
      </c>
      <c r="B286" s="6" t="s">
        <v>46</v>
      </c>
      <c r="C286" s="6" t="s">
        <v>37</v>
      </c>
      <c r="D286" s="15">
        <f>0.5*207700</f>
        <v>103850</v>
      </c>
      <c r="E286" s="17">
        <f t="shared" si="4"/>
        <v>8917980.8000000007</v>
      </c>
    </row>
    <row r="287" spans="1:5" hidden="1" x14ac:dyDescent="0.25">
      <c r="A287" s="8">
        <v>46753</v>
      </c>
      <c r="B287" s="6" t="s">
        <v>46</v>
      </c>
      <c r="C287" s="6" t="s">
        <v>38</v>
      </c>
      <c r="D287" s="15">
        <f>-2605000*0.0075</f>
        <v>-19537.5</v>
      </c>
      <c r="E287" s="17">
        <f t="shared" si="4"/>
        <v>8898443.3000000007</v>
      </c>
    </row>
    <row r="288" spans="1:5" x14ac:dyDescent="0.25">
      <c r="A288" s="8">
        <v>46753</v>
      </c>
      <c r="B288" s="6" t="s">
        <v>89</v>
      </c>
      <c r="C288" s="6" t="s">
        <v>37</v>
      </c>
      <c r="D288" s="15">
        <f>0.5*205350</f>
        <v>102675</v>
      </c>
      <c r="E288" s="17">
        <f t="shared" si="4"/>
        <v>9001118.3000000007</v>
      </c>
    </row>
    <row r="289" spans="1:5" hidden="1" x14ac:dyDescent="0.25">
      <c r="A289" s="8">
        <v>46753</v>
      </c>
      <c r="B289" s="6" t="s">
        <v>47</v>
      </c>
      <c r="C289" s="6" t="s">
        <v>38</v>
      </c>
      <c r="D289" s="15">
        <f>-180*6*10</f>
        <v>-10800</v>
      </c>
      <c r="E289" s="17">
        <f t="shared" si="4"/>
        <v>8990318.3000000007</v>
      </c>
    </row>
    <row r="290" spans="1:5" x14ac:dyDescent="0.25">
      <c r="A290" s="8">
        <v>46753</v>
      </c>
      <c r="B290" s="6" t="s">
        <v>90</v>
      </c>
      <c r="C290" s="6" t="s">
        <v>37</v>
      </c>
      <c r="D290" s="15">
        <f>0.5*215500</f>
        <v>107750</v>
      </c>
      <c r="E290" s="17">
        <f t="shared" si="4"/>
        <v>9098068.3000000007</v>
      </c>
    </row>
    <row r="291" spans="1:5" hidden="1" x14ac:dyDescent="0.25">
      <c r="A291" s="8">
        <v>46753</v>
      </c>
      <c r="B291" s="6" t="s">
        <v>48</v>
      </c>
      <c r="C291" s="6" t="s">
        <v>38</v>
      </c>
      <c r="D291" s="15">
        <f>-200*6*10</f>
        <v>-12000</v>
      </c>
      <c r="E291" s="17">
        <f t="shared" si="4"/>
        <v>9086068.3000000007</v>
      </c>
    </row>
    <row r="292" spans="1:5" x14ac:dyDescent="0.25">
      <c r="A292" s="8">
        <v>46753</v>
      </c>
      <c r="B292" s="6" t="s">
        <v>91</v>
      </c>
      <c r="C292" s="6" t="s">
        <v>37</v>
      </c>
      <c r="D292" s="15">
        <f>0.5*168700</f>
        <v>84350</v>
      </c>
      <c r="E292" s="17">
        <f t="shared" si="4"/>
        <v>9170418.3000000007</v>
      </c>
    </row>
    <row r="293" spans="1:5" hidden="1" x14ac:dyDescent="0.25">
      <c r="A293" s="8">
        <v>46753</v>
      </c>
      <c r="B293" s="6" t="s">
        <v>49</v>
      </c>
      <c r="C293" s="6" t="s">
        <v>38</v>
      </c>
      <c r="D293" s="15">
        <f>-150*6*10</f>
        <v>-9000</v>
      </c>
      <c r="E293" s="17">
        <f t="shared" si="4"/>
        <v>9161418.3000000007</v>
      </c>
    </row>
    <row r="294" spans="1:5" x14ac:dyDescent="0.25">
      <c r="A294" s="8">
        <v>46753</v>
      </c>
      <c r="B294" s="6" t="s">
        <v>92</v>
      </c>
      <c r="C294" s="6" t="s">
        <v>37</v>
      </c>
      <c r="D294" s="15">
        <f>0.5*105700</f>
        <v>52850</v>
      </c>
      <c r="E294" s="17">
        <f t="shared" si="4"/>
        <v>9214268.3000000007</v>
      </c>
    </row>
    <row r="295" spans="1:5" hidden="1" x14ac:dyDescent="0.25">
      <c r="A295" s="8">
        <v>46753</v>
      </c>
      <c r="B295" s="6" t="s">
        <v>58</v>
      </c>
      <c r="C295" s="6" t="s">
        <v>38</v>
      </c>
      <c r="D295" s="15">
        <f>-115*6*10</f>
        <v>-6900</v>
      </c>
      <c r="E295" s="17">
        <f t="shared" si="4"/>
        <v>9207368.3000000007</v>
      </c>
    </row>
    <row r="296" spans="1:5" x14ac:dyDescent="0.25">
      <c r="A296" s="8">
        <v>46753</v>
      </c>
      <c r="B296" s="6" t="s">
        <v>59</v>
      </c>
      <c r="C296" s="6" t="s">
        <v>37</v>
      </c>
      <c r="D296" s="15">
        <f>0.5*200*850*2.14</f>
        <v>181900</v>
      </c>
      <c r="E296" s="17">
        <f t="shared" si="4"/>
        <v>9389268.3000000007</v>
      </c>
    </row>
    <row r="297" spans="1:5" hidden="1" x14ac:dyDescent="0.25">
      <c r="A297" s="8">
        <v>46753</v>
      </c>
      <c r="B297" s="6" t="s">
        <v>59</v>
      </c>
      <c r="C297" s="6" t="s">
        <v>38</v>
      </c>
      <c r="D297" s="15">
        <f>-2200000*0.0075</f>
        <v>-16500</v>
      </c>
      <c r="E297" s="17">
        <f t="shared" si="4"/>
        <v>9372768.3000000007</v>
      </c>
    </row>
    <row r="298" spans="1:5" x14ac:dyDescent="0.25">
      <c r="A298" s="8">
        <v>46753</v>
      </c>
      <c r="B298" s="6" t="s">
        <v>93</v>
      </c>
      <c r="C298" s="6" t="s">
        <v>37</v>
      </c>
      <c r="D298" s="15">
        <f>0.5*150*900*2.14</f>
        <v>144450</v>
      </c>
      <c r="E298" s="17">
        <f t="shared" si="4"/>
        <v>9517218.3000000007</v>
      </c>
    </row>
    <row r="299" spans="1:5" hidden="1" x14ac:dyDescent="0.25">
      <c r="A299" s="8">
        <v>46753</v>
      </c>
      <c r="B299" s="6" t="s">
        <v>50</v>
      </c>
      <c r="C299" s="6" t="s">
        <v>38</v>
      </c>
      <c r="D299" s="15">
        <f>-150*6*10</f>
        <v>-9000</v>
      </c>
      <c r="E299" s="17">
        <f t="shared" si="4"/>
        <v>9508218.3000000007</v>
      </c>
    </row>
    <row r="300" spans="1:5" x14ac:dyDescent="0.25">
      <c r="A300" s="8">
        <v>46753</v>
      </c>
      <c r="B300" s="6" t="s">
        <v>94</v>
      </c>
      <c r="C300" s="6" t="s">
        <v>37</v>
      </c>
      <c r="D300" s="15">
        <f>0.5*200*900*2.14</f>
        <v>192600</v>
      </c>
      <c r="E300" s="17">
        <f t="shared" si="4"/>
        <v>9700818.3000000007</v>
      </c>
    </row>
    <row r="301" spans="1:5" hidden="1" x14ac:dyDescent="0.25">
      <c r="A301" s="8">
        <v>46753</v>
      </c>
      <c r="B301" s="6" t="s">
        <v>61</v>
      </c>
      <c r="C301" s="6" t="s">
        <v>38</v>
      </c>
      <c r="D301" s="15">
        <f>-200*6*10</f>
        <v>-12000</v>
      </c>
      <c r="E301" s="17">
        <f t="shared" si="4"/>
        <v>9688818.3000000007</v>
      </c>
    </row>
    <row r="302" spans="1:5" x14ac:dyDescent="0.25">
      <c r="A302" s="8">
        <v>46753</v>
      </c>
      <c r="B302" s="6" t="s">
        <v>95</v>
      </c>
      <c r="C302" s="6" t="s">
        <v>37</v>
      </c>
      <c r="D302" s="15">
        <f>0.5*156*900*2.14</f>
        <v>150228</v>
      </c>
      <c r="E302" s="17">
        <f t="shared" si="4"/>
        <v>9839046.3000000007</v>
      </c>
    </row>
    <row r="303" spans="1:5" hidden="1" x14ac:dyDescent="0.25">
      <c r="A303" s="8">
        <v>46753</v>
      </c>
      <c r="B303" s="6" t="s">
        <v>62</v>
      </c>
      <c r="C303" s="6" t="s">
        <v>38</v>
      </c>
      <c r="D303" s="15">
        <f>-156*6*10</f>
        <v>-9360</v>
      </c>
      <c r="E303" s="17">
        <f t="shared" si="4"/>
        <v>9829686.3000000007</v>
      </c>
    </row>
    <row r="304" spans="1:5" x14ac:dyDescent="0.25">
      <c r="A304" s="8">
        <v>46753</v>
      </c>
      <c r="B304" s="6" t="s">
        <v>60</v>
      </c>
      <c r="C304" s="6" t="s">
        <v>37</v>
      </c>
      <c r="D304" s="15">
        <f>0.5*315*900*2.14</f>
        <v>303345</v>
      </c>
      <c r="E304" s="17">
        <f t="shared" si="4"/>
        <v>10133031.300000001</v>
      </c>
    </row>
    <row r="305" spans="1:5" hidden="1" x14ac:dyDescent="0.25">
      <c r="A305" s="8">
        <v>46753</v>
      </c>
      <c r="B305" s="6" t="s">
        <v>60</v>
      </c>
      <c r="C305" s="6" t="s">
        <v>38</v>
      </c>
      <c r="D305" s="15">
        <f>-3700000*0.0075</f>
        <v>-27750</v>
      </c>
      <c r="E305" s="17">
        <f t="shared" si="4"/>
        <v>10105281.300000001</v>
      </c>
    </row>
    <row r="306" spans="1:5" x14ac:dyDescent="0.25">
      <c r="A306" s="8">
        <v>46753</v>
      </c>
      <c r="B306" s="6" t="s">
        <v>63</v>
      </c>
      <c r="C306" s="6" t="s">
        <v>37</v>
      </c>
      <c r="D306" s="15">
        <f>0.5*388*900*2.14</f>
        <v>373644</v>
      </c>
      <c r="E306" s="17">
        <f t="shared" si="4"/>
        <v>10478925.300000001</v>
      </c>
    </row>
    <row r="307" spans="1:5" hidden="1" x14ac:dyDescent="0.25">
      <c r="A307" s="8">
        <v>46753</v>
      </c>
      <c r="B307" s="6" t="s">
        <v>63</v>
      </c>
      <c r="C307" s="6" t="s">
        <v>38</v>
      </c>
      <c r="D307" s="15">
        <f>-3880000*0.0075</f>
        <v>-29100</v>
      </c>
      <c r="E307" s="17">
        <f t="shared" si="4"/>
        <v>10449825.300000001</v>
      </c>
    </row>
    <row r="308" spans="1:5" x14ac:dyDescent="0.25">
      <c r="A308" s="8">
        <v>46753</v>
      </c>
      <c r="B308" s="6" t="s">
        <v>64</v>
      </c>
      <c r="C308" s="6" t="s">
        <v>37</v>
      </c>
      <c r="D308" s="15">
        <f>0.5*388*900*2.14</f>
        <v>373644</v>
      </c>
      <c r="E308" s="17">
        <f t="shared" si="4"/>
        <v>10823469.300000001</v>
      </c>
    </row>
    <row r="309" spans="1:5" ht="15.75" hidden="1" thickBot="1" x14ac:dyDescent="0.3">
      <c r="A309" s="9">
        <v>46753</v>
      </c>
      <c r="B309" s="10" t="s">
        <v>64</v>
      </c>
      <c r="C309" s="10" t="s">
        <v>38</v>
      </c>
      <c r="D309" s="16">
        <f>-3880000*0.0075</f>
        <v>-29100</v>
      </c>
      <c r="E309" s="18">
        <f t="shared" si="4"/>
        <v>10794369.300000001</v>
      </c>
    </row>
    <row r="310" spans="1:5" hidden="1" x14ac:dyDescent="0.25">
      <c r="D310" s="3"/>
      <c r="E310" s="3"/>
    </row>
    <row r="311" spans="1:5" hidden="1" x14ac:dyDescent="0.25">
      <c r="D311" s="3"/>
      <c r="E311" s="3"/>
    </row>
    <row r="312" spans="1:5" hidden="1" x14ac:dyDescent="0.25">
      <c r="D312" s="3"/>
      <c r="E312" s="3"/>
    </row>
    <row r="313" spans="1:5" hidden="1" x14ac:dyDescent="0.25">
      <c r="D313" s="3"/>
      <c r="E313" s="3"/>
    </row>
    <row r="314" spans="1:5" hidden="1" x14ac:dyDescent="0.25">
      <c r="D314" s="3"/>
      <c r="E314" s="3"/>
    </row>
    <row r="315" spans="1:5" hidden="1" x14ac:dyDescent="0.25">
      <c r="D315" s="3"/>
      <c r="E315" s="3"/>
    </row>
    <row r="316" spans="1:5" hidden="1" x14ac:dyDescent="0.25">
      <c r="D316" s="3"/>
      <c r="E316" s="3"/>
    </row>
    <row r="317" spans="1:5" hidden="1" x14ac:dyDescent="0.25">
      <c r="D317" s="3"/>
      <c r="E317" s="3"/>
    </row>
    <row r="318" spans="1:5" hidden="1" x14ac:dyDescent="0.25">
      <c r="D318" s="3"/>
      <c r="E318" s="3"/>
    </row>
    <row r="319" spans="1:5" hidden="1" x14ac:dyDescent="0.25">
      <c r="D319" s="3"/>
      <c r="E319" s="3"/>
    </row>
    <row r="320" spans="1:5" hidden="1" x14ac:dyDescent="0.25">
      <c r="D320" s="3"/>
      <c r="E320" s="3"/>
    </row>
    <row r="321" spans="4:5" hidden="1" x14ac:dyDescent="0.25">
      <c r="D321" s="3"/>
      <c r="E321" s="3"/>
    </row>
    <row r="322" spans="4:5" hidden="1" x14ac:dyDescent="0.25">
      <c r="D322" s="3"/>
      <c r="E322" s="3"/>
    </row>
    <row r="323" spans="4:5" hidden="1" x14ac:dyDescent="0.25">
      <c r="D323" s="3"/>
      <c r="E323" s="3"/>
    </row>
    <row r="324" spans="4:5" hidden="1" x14ac:dyDescent="0.25">
      <c r="D324" s="3"/>
      <c r="E324" s="3"/>
    </row>
    <row r="325" spans="4:5" hidden="1" x14ac:dyDescent="0.25">
      <c r="D325" s="3"/>
      <c r="E325" s="3"/>
    </row>
    <row r="326" spans="4:5" hidden="1" x14ac:dyDescent="0.25">
      <c r="D326" s="3"/>
      <c r="E326" s="3"/>
    </row>
    <row r="327" spans="4:5" hidden="1" x14ac:dyDescent="0.25">
      <c r="D327" s="3"/>
      <c r="E327" s="3"/>
    </row>
    <row r="328" spans="4:5" hidden="1" x14ac:dyDescent="0.25">
      <c r="D328" s="3"/>
      <c r="E328" s="3"/>
    </row>
    <row r="329" spans="4:5" hidden="1" x14ac:dyDescent="0.25">
      <c r="D329" s="3"/>
      <c r="E329" s="3"/>
    </row>
    <row r="330" spans="4:5" hidden="1" x14ac:dyDescent="0.25">
      <c r="D330" s="3"/>
      <c r="E330" s="3"/>
    </row>
    <row r="331" spans="4:5" hidden="1" x14ac:dyDescent="0.25">
      <c r="D331" s="3"/>
      <c r="E331" s="3"/>
    </row>
    <row r="332" spans="4:5" hidden="1" x14ac:dyDescent="0.25">
      <c r="D332" s="3"/>
      <c r="E332" s="3"/>
    </row>
    <row r="333" spans="4:5" hidden="1" x14ac:dyDescent="0.25">
      <c r="D333" s="3"/>
      <c r="E333" s="3"/>
    </row>
    <row r="334" spans="4:5" hidden="1" x14ac:dyDescent="0.25">
      <c r="D334" s="3"/>
      <c r="E334" s="3"/>
    </row>
    <row r="335" spans="4:5" hidden="1" x14ac:dyDescent="0.25">
      <c r="D335" s="3"/>
      <c r="E335" s="3"/>
    </row>
    <row r="336" spans="4:5" hidden="1" x14ac:dyDescent="0.25">
      <c r="D336" s="3"/>
      <c r="E336" s="3"/>
    </row>
    <row r="337" spans="4:5" hidden="1" x14ac:dyDescent="0.25">
      <c r="D337" s="3"/>
      <c r="E337" s="3"/>
    </row>
    <row r="338" spans="4:5" hidden="1" x14ac:dyDescent="0.25">
      <c r="D338" s="3"/>
      <c r="E338" s="3"/>
    </row>
    <row r="339" spans="4:5" hidden="1" x14ac:dyDescent="0.25">
      <c r="D339" s="3"/>
      <c r="E339" s="3"/>
    </row>
    <row r="340" spans="4:5" hidden="1" x14ac:dyDescent="0.25">
      <c r="D340" s="3"/>
      <c r="E340" s="3"/>
    </row>
    <row r="341" spans="4:5" hidden="1" x14ac:dyDescent="0.25">
      <c r="D341" s="3"/>
      <c r="E341" s="3"/>
    </row>
    <row r="342" spans="4:5" hidden="1" x14ac:dyDescent="0.25">
      <c r="D342" s="3"/>
      <c r="E342" s="3"/>
    </row>
    <row r="343" spans="4:5" hidden="1" x14ac:dyDescent="0.25">
      <c r="D343" s="3"/>
      <c r="E343" s="3"/>
    </row>
    <row r="344" spans="4:5" hidden="1" x14ac:dyDescent="0.25">
      <c r="D344" s="3"/>
      <c r="E344" s="3"/>
    </row>
    <row r="345" spans="4:5" hidden="1" x14ac:dyDescent="0.25">
      <c r="D345" s="3"/>
      <c r="E345" s="3"/>
    </row>
    <row r="346" spans="4:5" hidden="1" x14ac:dyDescent="0.25">
      <c r="D346" s="3"/>
      <c r="E346" s="3"/>
    </row>
    <row r="347" spans="4:5" hidden="1" x14ac:dyDescent="0.25">
      <c r="D347" s="3"/>
      <c r="E347" s="3"/>
    </row>
    <row r="348" spans="4:5" hidden="1" x14ac:dyDescent="0.25">
      <c r="D348" s="3"/>
      <c r="E348" s="3"/>
    </row>
    <row r="349" spans="4:5" hidden="1" x14ac:dyDescent="0.25">
      <c r="D349" s="3"/>
      <c r="E349" s="3"/>
    </row>
    <row r="350" spans="4:5" hidden="1" x14ac:dyDescent="0.25">
      <c r="D350" s="3"/>
      <c r="E350" s="3"/>
    </row>
    <row r="351" spans="4:5" hidden="1" x14ac:dyDescent="0.25">
      <c r="D351" s="3"/>
      <c r="E351" s="3"/>
    </row>
    <row r="352" spans="4:5" hidden="1" x14ac:dyDescent="0.25">
      <c r="D352" s="3"/>
      <c r="E352" s="3"/>
    </row>
    <row r="353" spans="4:5" hidden="1" x14ac:dyDescent="0.25">
      <c r="D353" s="3"/>
      <c r="E353" s="3"/>
    </row>
    <row r="354" spans="4:5" hidden="1" x14ac:dyDescent="0.25">
      <c r="D354" s="3"/>
      <c r="E354" s="3"/>
    </row>
    <row r="355" spans="4:5" hidden="1" x14ac:dyDescent="0.25">
      <c r="D355" s="3"/>
      <c r="E355" s="3"/>
    </row>
    <row r="356" spans="4:5" hidden="1" x14ac:dyDescent="0.25">
      <c r="D356" s="3"/>
      <c r="E356" s="3"/>
    </row>
    <row r="357" spans="4:5" hidden="1" x14ac:dyDescent="0.25">
      <c r="D357" s="3"/>
      <c r="E357" s="3"/>
    </row>
    <row r="358" spans="4:5" hidden="1" x14ac:dyDescent="0.25">
      <c r="D358" s="3"/>
      <c r="E358" s="3"/>
    </row>
    <row r="359" spans="4:5" hidden="1" x14ac:dyDescent="0.25">
      <c r="D359" s="3"/>
      <c r="E359" s="3"/>
    </row>
    <row r="360" spans="4:5" hidden="1" x14ac:dyDescent="0.25">
      <c r="D360" s="3"/>
      <c r="E360" s="3"/>
    </row>
    <row r="361" spans="4:5" hidden="1" x14ac:dyDescent="0.25">
      <c r="D361" s="3"/>
      <c r="E361" s="3"/>
    </row>
    <row r="362" spans="4:5" hidden="1" x14ac:dyDescent="0.25">
      <c r="D362" s="3"/>
      <c r="E362" s="3"/>
    </row>
    <row r="363" spans="4:5" hidden="1" x14ac:dyDescent="0.25">
      <c r="D363" s="3"/>
      <c r="E363" s="3"/>
    </row>
    <row r="364" spans="4:5" hidden="1" x14ac:dyDescent="0.25">
      <c r="D364" s="3"/>
      <c r="E364" s="3"/>
    </row>
    <row r="365" spans="4:5" hidden="1" x14ac:dyDescent="0.25">
      <c r="D365" s="3"/>
      <c r="E365" s="3"/>
    </row>
    <row r="366" spans="4:5" hidden="1" x14ac:dyDescent="0.25">
      <c r="D366" s="3"/>
      <c r="E366" s="3"/>
    </row>
    <row r="367" spans="4:5" hidden="1" x14ac:dyDescent="0.25">
      <c r="D367" s="3"/>
      <c r="E367" s="3"/>
    </row>
    <row r="368" spans="4:5" hidden="1" x14ac:dyDescent="0.25">
      <c r="D368" s="3"/>
      <c r="E368" s="3"/>
    </row>
    <row r="369" spans="4:5" hidden="1" x14ac:dyDescent="0.25">
      <c r="D369" s="3"/>
      <c r="E369" s="3"/>
    </row>
    <row r="370" spans="4:5" hidden="1" x14ac:dyDescent="0.25">
      <c r="D370" s="3"/>
      <c r="E370" s="3"/>
    </row>
    <row r="371" spans="4:5" hidden="1" x14ac:dyDescent="0.25">
      <c r="D371" s="3"/>
      <c r="E371" s="3"/>
    </row>
    <row r="372" spans="4:5" hidden="1" x14ac:dyDescent="0.25">
      <c r="D372" s="3"/>
      <c r="E372" s="3"/>
    </row>
    <row r="373" spans="4:5" hidden="1" x14ac:dyDescent="0.25">
      <c r="D373" s="3"/>
      <c r="E373" s="3"/>
    </row>
    <row r="374" spans="4:5" hidden="1" x14ac:dyDescent="0.25">
      <c r="D374" s="3"/>
      <c r="E374" s="3"/>
    </row>
    <row r="375" spans="4:5" hidden="1" x14ac:dyDescent="0.25">
      <c r="D375" s="3"/>
      <c r="E375" s="3"/>
    </row>
    <row r="376" spans="4:5" hidden="1" x14ac:dyDescent="0.25">
      <c r="D376" s="3"/>
      <c r="E376" s="3"/>
    </row>
    <row r="377" spans="4:5" hidden="1" x14ac:dyDescent="0.25">
      <c r="D377" s="3"/>
      <c r="E377" s="3"/>
    </row>
    <row r="378" spans="4:5" hidden="1" x14ac:dyDescent="0.25">
      <c r="D378" s="3"/>
      <c r="E378" s="3"/>
    </row>
    <row r="379" spans="4:5" hidden="1" x14ac:dyDescent="0.25">
      <c r="D379" s="3"/>
      <c r="E379" s="3"/>
    </row>
    <row r="380" spans="4:5" hidden="1" x14ac:dyDescent="0.25">
      <c r="D380" s="3"/>
      <c r="E380" s="3"/>
    </row>
    <row r="381" spans="4:5" hidden="1" x14ac:dyDescent="0.25">
      <c r="D381" s="3"/>
      <c r="E381" s="3"/>
    </row>
    <row r="382" spans="4:5" hidden="1" x14ac:dyDescent="0.25">
      <c r="D382" s="3"/>
      <c r="E382" s="3"/>
    </row>
    <row r="383" spans="4:5" hidden="1" x14ac:dyDescent="0.25">
      <c r="D383" s="3"/>
      <c r="E383" s="3"/>
    </row>
    <row r="384" spans="4:5" hidden="1" x14ac:dyDescent="0.25">
      <c r="D384" s="3"/>
      <c r="E384" s="3"/>
    </row>
    <row r="385" spans="4:5" hidden="1" x14ac:dyDescent="0.25">
      <c r="D385" s="3"/>
      <c r="E385" s="3"/>
    </row>
    <row r="386" spans="4:5" hidden="1" x14ac:dyDescent="0.25">
      <c r="D386" s="3"/>
      <c r="E386" s="3"/>
    </row>
    <row r="387" spans="4:5" hidden="1" x14ac:dyDescent="0.25">
      <c r="D387" s="3"/>
      <c r="E387" s="3"/>
    </row>
    <row r="388" spans="4:5" hidden="1" x14ac:dyDescent="0.25">
      <c r="D388" s="3"/>
      <c r="E388" s="3"/>
    </row>
    <row r="389" spans="4:5" hidden="1" x14ac:dyDescent="0.25">
      <c r="D389" s="3"/>
      <c r="E389" s="3"/>
    </row>
    <row r="390" spans="4:5" hidden="1" x14ac:dyDescent="0.25">
      <c r="D390" s="3"/>
      <c r="E390" s="3"/>
    </row>
    <row r="391" spans="4:5" hidden="1" x14ac:dyDescent="0.25">
      <c r="D391" s="3"/>
      <c r="E391" s="3"/>
    </row>
    <row r="392" spans="4:5" hidden="1" x14ac:dyDescent="0.25">
      <c r="D392" s="3"/>
      <c r="E392" s="3"/>
    </row>
    <row r="393" spans="4:5" hidden="1" x14ac:dyDescent="0.25">
      <c r="D393" s="3"/>
      <c r="E393" s="3"/>
    </row>
    <row r="394" spans="4:5" hidden="1" x14ac:dyDescent="0.25">
      <c r="D394" s="3"/>
      <c r="E394" s="3"/>
    </row>
    <row r="395" spans="4:5" hidden="1" x14ac:dyDescent="0.25">
      <c r="D395" s="3"/>
      <c r="E395" s="3"/>
    </row>
    <row r="396" spans="4:5" hidden="1" x14ac:dyDescent="0.25">
      <c r="D396" s="3"/>
      <c r="E396" s="3"/>
    </row>
    <row r="397" spans="4:5" hidden="1" x14ac:dyDescent="0.25">
      <c r="D397" s="3"/>
      <c r="E397" s="3"/>
    </row>
    <row r="398" spans="4:5" hidden="1" x14ac:dyDescent="0.25">
      <c r="D398" s="3"/>
      <c r="E398" s="3"/>
    </row>
    <row r="399" spans="4:5" hidden="1" x14ac:dyDescent="0.25">
      <c r="D399" s="3"/>
      <c r="E399" s="3"/>
    </row>
    <row r="400" spans="4:5" hidden="1" x14ac:dyDescent="0.25">
      <c r="D400" s="3"/>
      <c r="E400" s="3"/>
    </row>
    <row r="401" spans="4:5" hidden="1" x14ac:dyDescent="0.25">
      <c r="D401" s="3"/>
      <c r="E401" s="3"/>
    </row>
    <row r="402" spans="4:5" hidden="1" x14ac:dyDescent="0.25">
      <c r="D402" s="3"/>
      <c r="E402" s="3"/>
    </row>
    <row r="403" spans="4:5" hidden="1" x14ac:dyDescent="0.25">
      <c r="D403" s="3"/>
      <c r="E403" s="3"/>
    </row>
    <row r="404" spans="4:5" hidden="1" x14ac:dyDescent="0.25">
      <c r="D404" s="3"/>
      <c r="E404" s="3"/>
    </row>
    <row r="405" spans="4:5" hidden="1" x14ac:dyDescent="0.25">
      <c r="D405" s="3"/>
      <c r="E405" s="3"/>
    </row>
    <row r="406" spans="4:5" hidden="1" x14ac:dyDescent="0.25">
      <c r="D406" s="3"/>
      <c r="E406" s="3"/>
    </row>
    <row r="407" spans="4:5" hidden="1" x14ac:dyDescent="0.25">
      <c r="D407" s="3"/>
      <c r="E407" s="3"/>
    </row>
    <row r="408" spans="4:5" hidden="1" x14ac:dyDescent="0.25">
      <c r="D408" s="3"/>
      <c r="E408" s="3"/>
    </row>
    <row r="409" spans="4:5" hidden="1" x14ac:dyDescent="0.25">
      <c r="D409" s="3"/>
      <c r="E409" s="3"/>
    </row>
    <row r="410" spans="4:5" hidden="1" x14ac:dyDescent="0.25">
      <c r="D410" s="3"/>
      <c r="E410" s="3"/>
    </row>
    <row r="411" spans="4:5" hidden="1" x14ac:dyDescent="0.25">
      <c r="D411" s="3"/>
      <c r="E411" s="3"/>
    </row>
    <row r="412" spans="4:5" hidden="1" x14ac:dyDescent="0.25">
      <c r="D412" s="3"/>
      <c r="E412" s="3"/>
    </row>
    <row r="413" spans="4:5" hidden="1" x14ac:dyDescent="0.25">
      <c r="D413" s="3"/>
      <c r="E413" s="3"/>
    </row>
    <row r="414" spans="4:5" hidden="1" x14ac:dyDescent="0.25">
      <c r="D414" s="3"/>
      <c r="E414" s="3"/>
    </row>
    <row r="415" spans="4:5" hidden="1" x14ac:dyDescent="0.25">
      <c r="D415" s="3"/>
      <c r="E415" s="3"/>
    </row>
    <row r="416" spans="4:5" hidden="1" x14ac:dyDescent="0.25">
      <c r="D416" s="3"/>
      <c r="E416" s="3"/>
    </row>
    <row r="417" spans="4:5" hidden="1" x14ac:dyDescent="0.25">
      <c r="D417" s="3"/>
      <c r="E417" s="3"/>
    </row>
    <row r="418" spans="4:5" hidden="1" x14ac:dyDescent="0.25">
      <c r="D418" s="3"/>
      <c r="E418" s="3"/>
    </row>
    <row r="419" spans="4:5" hidden="1" x14ac:dyDescent="0.25">
      <c r="D419" s="3"/>
      <c r="E419" s="3"/>
    </row>
    <row r="420" spans="4:5" hidden="1" x14ac:dyDescent="0.25">
      <c r="D420" s="3"/>
      <c r="E420" s="3"/>
    </row>
    <row r="421" spans="4:5" hidden="1" x14ac:dyDescent="0.25">
      <c r="D421" s="3"/>
      <c r="E421" s="3"/>
    </row>
    <row r="422" spans="4:5" hidden="1" x14ac:dyDescent="0.25">
      <c r="D422" s="3"/>
      <c r="E422" s="3"/>
    </row>
    <row r="423" spans="4:5" hidden="1" x14ac:dyDescent="0.25">
      <c r="D423" s="3"/>
      <c r="E423" s="3"/>
    </row>
    <row r="424" spans="4:5" hidden="1" x14ac:dyDescent="0.25">
      <c r="D424" s="3"/>
      <c r="E424" s="3"/>
    </row>
    <row r="425" spans="4:5" hidden="1" x14ac:dyDescent="0.25">
      <c r="D425" s="3"/>
      <c r="E425" s="3"/>
    </row>
    <row r="426" spans="4:5" hidden="1" x14ac:dyDescent="0.25">
      <c r="D426" s="3"/>
      <c r="E426" s="3"/>
    </row>
    <row r="427" spans="4:5" hidden="1" x14ac:dyDescent="0.25">
      <c r="D427" s="3"/>
      <c r="E427" s="3"/>
    </row>
    <row r="428" spans="4:5" hidden="1" x14ac:dyDescent="0.25">
      <c r="D428" s="3"/>
      <c r="E428" s="3"/>
    </row>
    <row r="429" spans="4:5" hidden="1" x14ac:dyDescent="0.25">
      <c r="D429" s="3"/>
      <c r="E429" s="3"/>
    </row>
    <row r="430" spans="4:5" hidden="1" x14ac:dyDescent="0.25">
      <c r="D430" s="3"/>
      <c r="E430" s="3"/>
    </row>
    <row r="431" spans="4:5" hidden="1" x14ac:dyDescent="0.25">
      <c r="D431" s="3"/>
      <c r="E431" s="3"/>
    </row>
    <row r="432" spans="4:5" hidden="1" x14ac:dyDescent="0.25">
      <c r="D432" s="3"/>
      <c r="E432" s="3"/>
    </row>
    <row r="433" spans="4:5" hidden="1" x14ac:dyDescent="0.25">
      <c r="D433" s="3"/>
      <c r="E433" s="3"/>
    </row>
    <row r="434" spans="4:5" hidden="1" x14ac:dyDescent="0.25">
      <c r="D434" s="3"/>
      <c r="E434" s="3"/>
    </row>
    <row r="435" spans="4:5" hidden="1" x14ac:dyDescent="0.25">
      <c r="D435" s="3"/>
      <c r="E435" s="3"/>
    </row>
    <row r="436" spans="4:5" hidden="1" x14ac:dyDescent="0.25">
      <c r="D436" s="3"/>
      <c r="E436" s="3"/>
    </row>
    <row r="437" spans="4:5" hidden="1" x14ac:dyDescent="0.25">
      <c r="D437" s="3"/>
      <c r="E437" s="3"/>
    </row>
    <row r="438" spans="4:5" hidden="1" x14ac:dyDescent="0.25">
      <c r="D438" s="3"/>
      <c r="E438" s="3"/>
    </row>
    <row r="439" spans="4:5" hidden="1" x14ac:dyDescent="0.25">
      <c r="D439" s="3"/>
      <c r="E439" s="3"/>
    </row>
    <row r="440" spans="4:5" hidden="1" x14ac:dyDescent="0.25">
      <c r="D440" s="3"/>
      <c r="E440" s="3"/>
    </row>
    <row r="441" spans="4:5" hidden="1" x14ac:dyDescent="0.25">
      <c r="D441" s="3"/>
      <c r="E441" s="3"/>
    </row>
    <row r="442" spans="4:5" hidden="1" x14ac:dyDescent="0.25">
      <c r="D442" s="3"/>
      <c r="E442" s="3"/>
    </row>
    <row r="443" spans="4:5" hidden="1" x14ac:dyDescent="0.25">
      <c r="D443" s="3"/>
      <c r="E443" s="3"/>
    </row>
    <row r="444" spans="4:5" hidden="1" x14ac:dyDescent="0.25">
      <c r="D444" s="3"/>
      <c r="E444" s="3"/>
    </row>
    <row r="445" spans="4:5" hidden="1" x14ac:dyDescent="0.25">
      <c r="D445" s="3"/>
      <c r="E445" s="3"/>
    </row>
    <row r="446" spans="4:5" hidden="1" x14ac:dyDescent="0.25">
      <c r="D446" s="3"/>
      <c r="E446" s="3"/>
    </row>
    <row r="447" spans="4:5" hidden="1" x14ac:dyDescent="0.25">
      <c r="D447" s="3"/>
      <c r="E447" s="3"/>
    </row>
    <row r="448" spans="4:5" hidden="1" x14ac:dyDescent="0.25">
      <c r="D448" s="3"/>
      <c r="E448" s="3"/>
    </row>
    <row r="449" spans="4:5" hidden="1" x14ac:dyDescent="0.25">
      <c r="D449" s="3"/>
      <c r="E449" s="3"/>
    </row>
    <row r="450" spans="4:5" hidden="1" x14ac:dyDescent="0.25">
      <c r="D450" s="3"/>
      <c r="E450" s="3"/>
    </row>
    <row r="451" spans="4:5" hidden="1" x14ac:dyDescent="0.25">
      <c r="D451" s="3"/>
      <c r="E451" s="3"/>
    </row>
    <row r="452" spans="4:5" hidden="1" x14ac:dyDescent="0.25">
      <c r="D452" s="3"/>
      <c r="E452" s="3"/>
    </row>
    <row r="453" spans="4:5" hidden="1" x14ac:dyDescent="0.25">
      <c r="D453" s="3"/>
      <c r="E453" s="3"/>
    </row>
    <row r="454" spans="4:5" hidden="1" x14ac:dyDescent="0.25">
      <c r="D454" s="3"/>
      <c r="E454" s="3"/>
    </row>
    <row r="455" spans="4:5" hidden="1" x14ac:dyDescent="0.25">
      <c r="D455" s="3"/>
      <c r="E455" s="3"/>
    </row>
    <row r="456" spans="4:5" hidden="1" x14ac:dyDescent="0.25">
      <c r="D456" s="3"/>
      <c r="E456" s="3"/>
    </row>
    <row r="457" spans="4:5" hidden="1" x14ac:dyDescent="0.25">
      <c r="D457" s="3"/>
      <c r="E457" s="3"/>
    </row>
    <row r="458" spans="4:5" hidden="1" x14ac:dyDescent="0.25">
      <c r="D458" s="3"/>
      <c r="E458" s="3"/>
    </row>
    <row r="459" spans="4:5" hidden="1" x14ac:dyDescent="0.25">
      <c r="D459" s="3"/>
      <c r="E459" s="3"/>
    </row>
    <row r="460" spans="4:5" hidden="1" x14ac:dyDescent="0.25">
      <c r="D460" s="3"/>
      <c r="E460" s="3"/>
    </row>
    <row r="461" spans="4:5" hidden="1" x14ac:dyDescent="0.25">
      <c r="D461" s="3"/>
      <c r="E461" s="3"/>
    </row>
    <row r="462" spans="4:5" hidden="1" x14ac:dyDescent="0.25">
      <c r="D462" s="3"/>
      <c r="E462" s="3"/>
    </row>
    <row r="463" spans="4:5" hidden="1" x14ac:dyDescent="0.25">
      <c r="D463" s="3"/>
      <c r="E463" s="3"/>
    </row>
    <row r="464" spans="4:5" hidden="1" x14ac:dyDescent="0.25">
      <c r="D464" s="3"/>
      <c r="E464" s="3"/>
    </row>
    <row r="465" spans="4:5" hidden="1" x14ac:dyDescent="0.25">
      <c r="D465" s="3"/>
      <c r="E465" s="3"/>
    </row>
    <row r="466" spans="4:5" hidden="1" x14ac:dyDescent="0.25">
      <c r="D466" s="3"/>
      <c r="E466" s="3"/>
    </row>
    <row r="467" spans="4:5" hidden="1" x14ac:dyDescent="0.25">
      <c r="D467" s="3"/>
      <c r="E467" s="3"/>
    </row>
    <row r="468" spans="4:5" hidden="1" x14ac:dyDescent="0.25">
      <c r="D468" s="3"/>
      <c r="E468" s="3"/>
    </row>
    <row r="469" spans="4:5" hidden="1" x14ac:dyDescent="0.25">
      <c r="D469" s="3"/>
      <c r="E469" s="3"/>
    </row>
    <row r="470" spans="4:5" hidden="1" x14ac:dyDescent="0.25">
      <c r="D470" s="3"/>
      <c r="E470" s="3"/>
    </row>
    <row r="471" spans="4:5" hidden="1" x14ac:dyDescent="0.25">
      <c r="D471" s="3"/>
      <c r="E471" s="3"/>
    </row>
    <row r="472" spans="4:5" hidden="1" x14ac:dyDescent="0.25">
      <c r="D472" s="3"/>
      <c r="E472" s="3"/>
    </row>
    <row r="473" spans="4:5" hidden="1" x14ac:dyDescent="0.25">
      <c r="D473" s="3"/>
      <c r="E473" s="3"/>
    </row>
    <row r="474" spans="4:5" hidden="1" x14ac:dyDescent="0.25">
      <c r="D474" s="3"/>
      <c r="E474" s="3"/>
    </row>
    <row r="475" spans="4:5" hidden="1" x14ac:dyDescent="0.25">
      <c r="D475" s="3"/>
      <c r="E475" s="3"/>
    </row>
    <row r="476" spans="4:5" hidden="1" x14ac:dyDescent="0.25">
      <c r="D476" s="3"/>
      <c r="E476" s="3"/>
    </row>
    <row r="477" spans="4:5" hidden="1" x14ac:dyDescent="0.25">
      <c r="D477" s="3"/>
      <c r="E477" s="3"/>
    </row>
    <row r="478" spans="4:5" hidden="1" x14ac:dyDescent="0.25">
      <c r="D478" s="3"/>
      <c r="E478" s="3"/>
    </row>
    <row r="479" spans="4:5" hidden="1" x14ac:dyDescent="0.25">
      <c r="D479" s="3"/>
      <c r="E479" s="3"/>
    </row>
    <row r="480" spans="4:5" hidden="1" x14ac:dyDescent="0.25">
      <c r="D480" s="3"/>
      <c r="E480" s="3"/>
    </row>
    <row r="481" spans="4:5" hidden="1" x14ac:dyDescent="0.25">
      <c r="D481" s="3"/>
      <c r="E481" s="3"/>
    </row>
    <row r="482" spans="4:5" hidden="1" x14ac:dyDescent="0.25">
      <c r="D482" s="3"/>
      <c r="E482" s="3"/>
    </row>
    <row r="483" spans="4:5" hidden="1" x14ac:dyDescent="0.25">
      <c r="D483" s="3"/>
      <c r="E483" s="3"/>
    </row>
    <row r="484" spans="4:5" hidden="1" x14ac:dyDescent="0.25">
      <c r="D484" s="3"/>
      <c r="E484" s="3"/>
    </row>
    <row r="485" spans="4:5" hidden="1" x14ac:dyDescent="0.25">
      <c r="D485" s="3"/>
      <c r="E485" s="3"/>
    </row>
    <row r="486" spans="4:5" hidden="1" x14ac:dyDescent="0.25">
      <c r="D486" s="3"/>
      <c r="E486" s="3"/>
    </row>
    <row r="487" spans="4:5" hidden="1" x14ac:dyDescent="0.25">
      <c r="D487" s="3"/>
      <c r="E487" s="3"/>
    </row>
    <row r="488" spans="4:5" hidden="1" x14ac:dyDescent="0.25">
      <c r="D488" s="3"/>
      <c r="E488" s="3"/>
    </row>
    <row r="489" spans="4:5" hidden="1" x14ac:dyDescent="0.25">
      <c r="D489" s="3"/>
      <c r="E489" s="3"/>
    </row>
    <row r="490" spans="4:5" hidden="1" x14ac:dyDescent="0.25">
      <c r="D490" s="3"/>
      <c r="E490" s="3"/>
    </row>
    <row r="491" spans="4:5" hidden="1" x14ac:dyDescent="0.25">
      <c r="D491" s="3"/>
      <c r="E491" s="3"/>
    </row>
    <row r="492" spans="4:5" hidden="1" x14ac:dyDescent="0.25">
      <c r="D492" s="3"/>
      <c r="E492" s="3"/>
    </row>
    <row r="493" spans="4:5" hidden="1" x14ac:dyDescent="0.25">
      <c r="D493" s="3"/>
      <c r="E493" s="3"/>
    </row>
    <row r="494" spans="4:5" hidden="1" x14ac:dyDescent="0.25">
      <c r="D494" s="3"/>
      <c r="E494" s="3"/>
    </row>
    <row r="495" spans="4:5" hidden="1" x14ac:dyDescent="0.25">
      <c r="D495" s="3"/>
      <c r="E495" s="3"/>
    </row>
    <row r="496" spans="4:5" hidden="1" x14ac:dyDescent="0.25">
      <c r="D496" s="3"/>
      <c r="E496" s="3"/>
    </row>
    <row r="497" spans="4:5" hidden="1" x14ac:dyDescent="0.25">
      <c r="D497" s="3"/>
      <c r="E497" s="3"/>
    </row>
    <row r="498" spans="4:5" hidden="1" x14ac:dyDescent="0.25">
      <c r="D498" s="3"/>
      <c r="E498" s="3"/>
    </row>
    <row r="499" spans="4:5" hidden="1" x14ac:dyDescent="0.25">
      <c r="D499" s="3"/>
      <c r="E499" s="3"/>
    </row>
    <row r="500" spans="4:5" hidden="1" x14ac:dyDescent="0.25">
      <c r="D500" s="3"/>
      <c r="E500" s="3"/>
    </row>
    <row r="501" spans="4:5" hidden="1" x14ac:dyDescent="0.25">
      <c r="D501" s="3"/>
      <c r="E501" s="3"/>
    </row>
    <row r="502" spans="4:5" hidden="1" x14ac:dyDescent="0.25">
      <c r="D502" s="3"/>
      <c r="E502" s="3"/>
    </row>
    <row r="503" spans="4:5" hidden="1" x14ac:dyDescent="0.25">
      <c r="D503" s="3"/>
      <c r="E503" s="3"/>
    </row>
    <row r="504" spans="4:5" hidden="1" x14ac:dyDescent="0.25">
      <c r="D504" s="3"/>
      <c r="E504" s="3"/>
    </row>
    <row r="505" spans="4:5" hidden="1" x14ac:dyDescent="0.25">
      <c r="D505" s="3"/>
      <c r="E505" s="3"/>
    </row>
    <row r="506" spans="4:5" hidden="1" x14ac:dyDescent="0.25">
      <c r="D506" s="3"/>
      <c r="E506" s="3"/>
    </row>
    <row r="507" spans="4:5" hidden="1" x14ac:dyDescent="0.25">
      <c r="D507" s="3"/>
      <c r="E507" s="3"/>
    </row>
    <row r="508" spans="4:5" hidden="1" x14ac:dyDescent="0.25">
      <c r="D508" s="3"/>
      <c r="E508" s="3"/>
    </row>
    <row r="509" spans="4:5" hidden="1" x14ac:dyDescent="0.25">
      <c r="D509" s="3"/>
      <c r="E509" s="3"/>
    </row>
    <row r="510" spans="4:5" hidden="1" x14ac:dyDescent="0.25">
      <c r="D510" s="3"/>
      <c r="E510" s="3"/>
    </row>
  </sheetData>
  <autoFilter ref="A1:E510" xr:uid="{D839DFB8-1797-43F7-8715-D2CAF70D7CAC}">
    <filterColumn colId="2">
      <filters>
        <filter val="Halvårsindtægt Q1-2 - 2023"/>
        <filter val="Halvårsindtægt Q1-2 - 2024"/>
        <filter val="Halvårsindtægt Q1-2 - 2025"/>
        <filter val="Halvårsindtægt Q1-2 - 2026"/>
        <filter val="Halvårsindtægt Q1-2 - 2027"/>
        <filter val="Halvårsindtægt Q3-4 - 2023"/>
        <filter val="Halvårsindtægt Q3-4 - 2024"/>
        <filter val="Halvårsindtægt Q3-4 - 2025"/>
        <filter val="Halvårsindtægt Q3-4 - 2026"/>
        <filter val="Halvårsindtægt Q3-4 - 2027"/>
      </filters>
    </filterColumn>
  </autoFilter>
  <sortState xmlns:xlrd2="http://schemas.microsoft.com/office/spreadsheetml/2017/richdata2" ref="A4:D309">
    <sortCondition ref="A4:A309"/>
  </sortState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6DC35-7B05-4954-B6FD-5255A18C1D60}">
  <sheetPr>
    <pageSetUpPr fitToPage="1"/>
  </sheetPr>
  <dimension ref="A1:F61"/>
  <sheetViews>
    <sheetView workbookViewId="0">
      <selection activeCell="C28" sqref="C28"/>
    </sheetView>
  </sheetViews>
  <sheetFormatPr defaultRowHeight="15" x14ac:dyDescent="0.25"/>
  <cols>
    <col min="1" max="1" width="29.28515625" bestFit="1" customWidth="1"/>
    <col min="2" max="4" width="10.140625" bestFit="1" customWidth="1"/>
    <col min="5" max="5" width="12.85546875" bestFit="1" customWidth="1"/>
    <col min="6" max="6" width="10.140625" bestFit="1" customWidth="1"/>
  </cols>
  <sheetData>
    <row r="1" spans="1:6" x14ac:dyDescent="0.25">
      <c r="A1" s="25" t="s">
        <v>82</v>
      </c>
    </row>
    <row r="2" spans="1:6" x14ac:dyDescent="0.25">
      <c r="B2" t="s">
        <v>67</v>
      </c>
      <c r="C2" t="s">
        <v>70</v>
      </c>
      <c r="D2" t="s">
        <v>72</v>
      </c>
    </row>
    <row r="3" spans="1:6" x14ac:dyDescent="0.25">
      <c r="B3" s="23">
        <v>9300000</v>
      </c>
    </row>
    <row r="4" spans="1:6" x14ac:dyDescent="0.25">
      <c r="A4" t="s">
        <v>68</v>
      </c>
      <c r="B4" s="23">
        <f>B3*80%</f>
        <v>7440000</v>
      </c>
      <c r="C4" s="24">
        <v>3.5000000000000003E-2</v>
      </c>
      <c r="D4">
        <v>20</v>
      </c>
    </row>
    <row r="5" spans="1:6" x14ac:dyDescent="0.25">
      <c r="A5" t="s">
        <v>69</v>
      </c>
      <c r="B5" s="23">
        <f>B3*20%</f>
        <v>1860000</v>
      </c>
      <c r="C5" s="5">
        <v>0.05</v>
      </c>
      <c r="D5">
        <v>8</v>
      </c>
    </row>
    <row r="8" spans="1:6" x14ac:dyDescent="0.25">
      <c r="A8" s="25"/>
      <c r="B8" s="25" t="s">
        <v>78</v>
      </c>
      <c r="C8" s="25" t="s">
        <v>73</v>
      </c>
      <c r="D8" s="25" t="s">
        <v>74</v>
      </c>
      <c r="E8" s="25" t="s">
        <v>75</v>
      </c>
      <c r="F8" s="25" t="s">
        <v>76</v>
      </c>
    </row>
    <row r="9" spans="1:6" x14ac:dyDescent="0.25">
      <c r="A9" t="s">
        <v>70</v>
      </c>
      <c r="B9" s="23">
        <f>B4*C4</f>
        <v>260400.00000000003</v>
      </c>
      <c r="C9" s="23">
        <f>(B4)*C4</f>
        <v>260400.00000000003</v>
      </c>
      <c r="D9" s="23">
        <f>(B4-C11)*C4</f>
        <v>247380.00000000003</v>
      </c>
      <c r="E9" s="23">
        <f>(B4-C11-D11)*C4</f>
        <v>234360.00000000003</v>
      </c>
      <c r="F9" s="23">
        <f>(B4-C11-D11-E11)*C4</f>
        <v>221340.00000000003</v>
      </c>
    </row>
    <row r="10" spans="1:6" x14ac:dyDescent="0.25">
      <c r="B10" s="23">
        <f>B5*C5</f>
        <v>93000</v>
      </c>
      <c r="C10" s="23">
        <f>B10</f>
        <v>93000</v>
      </c>
      <c r="D10" s="23">
        <f>(B5-C12)*C5</f>
        <v>81375</v>
      </c>
      <c r="E10" s="23">
        <f>(B5-C12-D12)*C5</f>
        <v>69750</v>
      </c>
      <c r="F10" s="23">
        <f>(B5-C12-D12-E12)*C5</f>
        <v>58125</v>
      </c>
    </row>
    <row r="11" spans="1:6" x14ac:dyDescent="0.25">
      <c r="A11" t="s">
        <v>71</v>
      </c>
      <c r="C11" s="23">
        <f>B4/D4</f>
        <v>372000</v>
      </c>
      <c r="D11" s="23">
        <f>(B4/D4)</f>
        <v>372000</v>
      </c>
      <c r="E11" s="23">
        <f>D11</f>
        <v>372000</v>
      </c>
      <c r="F11" s="23">
        <f>E11</f>
        <v>372000</v>
      </c>
    </row>
    <row r="12" spans="1:6" x14ac:dyDescent="0.25">
      <c r="C12" s="23">
        <f>B5/D5</f>
        <v>232500</v>
      </c>
      <c r="D12" s="23">
        <f>B5/D5</f>
        <v>232500</v>
      </c>
      <c r="E12" s="23">
        <f>B5/D5</f>
        <v>232500</v>
      </c>
      <c r="F12" s="23">
        <f>B5/D5</f>
        <v>232500</v>
      </c>
    </row>
    <row r="13" spans="1:6" x14ac:dyDescent="0.25">
      <c r="A13" s="25" t="s">
        <v>77</v>
      </c>
      <c r="B13" s="26">
        <f>SUM(B9:B12)</f>
        <v>353400</v>
      </c>
      <c r="C13" s="26">
        <f t="shared" ref="C13:D13" si="0">SUM(C9:C12)</f>
        <v>957900</v>
      </c>
      <c r="D13" s="26">
        <f t="shared" si="0"/>
        <v>933255</v>
      </c>
      <c r="E13" s="26">
        <f>SUM(E9:E12)</f>
        <v>908610</v>
      </c>
      <c r="F13" s="26">
        <f t="shared" ref="F13" si="1">SUM(F9:F12)</f>
        <v>883965</v>
      </c>
    </row>
    <row r="15" spans="1:6" x14ac:dyDescent="0.25">
      <c r="A15" t="s">
        <v>81</v>
      </c>
    </row>
    <row r="16" spans="1:6" x14ac:dyDescent="0.25">
      <c r="A16" t="s">
        <v>79</v>
      </c>
    </row>
    <row r="17" spans="1:6" x14ac:dyDescent="0.25">
      <c r="A17" t="s">
        <v>80</v>
      </c>
    </row>
    <row r="19" spans="1:6" x14ac:dyDescent="0.25">
      <c r="A19" s="25" t="s">
        <v>83</v>
      </c>
    </row>
    <row r="20" spans="1:6" x14ac:dyDescent="0.25">
      <c r="B20" t="s">
        <v>67</v>
      </c>
      <c r="C20" t="s">
        <v>70</v>
      </c>
      <c r="D20" t="s">
        <v>72</v>
      </c>
    </row>
    <row r="21" spans="1:6" x14ac:dyDescent="0.25">
      <c r="B21" s="23">
        <v>9300000</v>
      </c>
    </row>
    <row r="22" spans="1:6" x14ac:dyDescent="0.25">
      <c r="A22" t="s">
        <v>68</v>
      </c>
      <c r="B22" s="23">
        <f>B21*80%</f>
        <v>7440000</v>
      </c>
      <c r="C22" s="24">
        <v>3.5000000000000003E-2</v>
      </c>
      <c r="D22">
        <v>20</v>
      </c>
    </row>
    <row r="23" spans="1:6" x14ac:dyDescent="0.25">
      <c r="A23" t="s">
        <v>69</v>
      </c>
      <c r="B23" s="23">
        <f>B21*20%</f>
        <v>1860000</v>
      </c>
      <c r="C23" s="5">
        <v>0.05</v>
      </c>
      <c r="D23">
        <v>8</v>
      </c>
    </row>
    <row r="26" spans="1:6" x14ac:dyDescent="0.25">
      <c r="A26" s="25"/>
      <c r="B26" s="25" t="s">
        <v>78</v>
      </c>
      <c r="C26" s="25" t="s">
        <v>73</v>
      </c>
      <c r="D26" s="25" t="s">
        <v>74</v>
      </c>
      <c r="E26" s="25" t="s">
        <v>75</v>
      </c>
      <c r="F26" s="25" t="s">
        <v>76</v>
      </c>
    </row>
    <row r="27" spans="1:6" x14ac:dyDescent="0.25">
      <c r="A27" t="s">
        <v>70</v>
      </c>
      <c r="C27" s="23">
        <f>B22*C22</f>
        <v>260400.00000000003</v>
      </c>
      <c r="D27" s="23">
        <f>(B22)*C22</f>
        <v>260400.00000000003</v>
      </c>
      <c r="E27" s="23">
        <f>(B22-D29)*C22</f>
        <v>247380.00000000003</v>
      </c>
      <c r="F27" s="23">
        <f>(B22-D29-E29)*C22</f>
        <v>234360.00000000003</v>
      </c>
    </row>
    <row r="28" spans="1:6" x14ac:dyDescent="0.25">
      <c r="C28" s="23">
        <f>B23*C23</f>
        <v>93000</v>
      </c>
      <c r="D28" s="23">
        <f>C28</f>
        <v>93000</v>
      </c>
      <c r="E28" s="23">
        <f>(B23-D30)*C23</f>
        <v>81375</v>
      </c>
      <c r="F28" s="23">
        <f>(B23-D30-E30)*C23</f>
        <v>69750</v>
      </c>
    </row>
    <row r="29" spans="1:6" x14ac:dyDescent="0.25">
      <c r="A29" t="s">
        <v>71</v>
      </c>
      <c r="D29" s="23">
        <f>B22/D22</f>
        <v>372000</v>
      </c>
      <c r="E29" s="23">
        <f>(B22/D22)</f>
        <v>372000</v>
      </c>
      <c r="F29" s="23">
        <f>E29</f>
        <v>372000</v>
      </c>
    </row>
    <row r="30" spans="1:6" x14ac:dyDescent="0.25">
      <c r="D30" s="23">
        <f>B23/D23</f>
        <v>232500</v>
      </c>
      <c r="E30" s="23">
        <f>B23/D23</f>
        <v>232500</v>
      </c>
      <c r="F30" s="23">
        <f>B23/D23</f>
        <v>232500</v>
      </c>
    </row>
    <row r="31" spans="1:6" x14ac:dyDescent="0.25">
      <c r="A31" s="25" t="s">
        <v>77</v>
      </c>
      <c r="C31" s="26">
        <f>SUM(C27:C30)</f>
        <v>353400</v>
      </c>
      <c r="D31" s="26">
        <f t="shared" ref="D31" si="2">SUM(D27:D30)</f>
        <v>957900</v>
      </c>
      <c r="E31" s="26">
        <f t="shared" ref="E31" si="3">SUM(E27:E30)</f>
        <v>933255</v>
      </c>
      <c r="F31" s="26">
        <f>SUM(F27:F30)</f>
        <v>908610</v>
      </c>
    </row>
    <row r="33" spans="1:6" x14ac:dyDescent="0.25">
      <c r="A33" s="25" t="s">
        <v>84</v>
      </c>
    </row>
    <row r="34" spans="1:6" x14ac:dyDescent="0.25">
      <c r="B34" t="s">
        <v>67</v>
      </c>
      <c r="C34" t="s">
        <v>70</v>
      </c>
      <c r="D34" t="s">
        <v>72</v>
      </c>
    </row>
    <row r="35" spans="1:6" x14ac:dyDescent="0.25">
      <c r="B35" s="23">
        <v>9300000</v>
      </c>
    </row>
    <row r="36" spans="1:6" x14ac:dyDescent="0.25">
      <c r="A36" t="s">
        <v>68</v>
      </c>
      <c r="B36" s="23">
        <f>B35*80%</f>
        <v>7440000</v>
      </c>
      <c r="C36" s="24">
        <v>3.5000000000000003E-2</v>
      </c>
      <c r="D36">
        <v>20</v>
      </c>
    </row>
    <row r="37" spans="1:6" x14ac:dyDescent="0.25">
      <c r="A37" t="s">
        <v>69</v>
      </c>
      <c r="B37" s="23">
        <f>B35*20%</f>
        <v>1860000</v>
      </c>
      <c r="C37" s="5">
        <v>0.05</v>
      </c>
      <c r="D37">
        <v>8</v>
      </c>
    </row>
    <row r="40" spans="1:6" x14ac:dyDescent="0.25">
      <c r="A40" s="25"/>
      <c r="B40" s="25" t="s">
        <v>78</v>
      </c>
      <c r="C40" s="25" t="s">
        <v>73</v>
      </c>
      <c r="D40" s="25" t="s">
        <v>74</v>
      </c>
      <c r="E40" s="25" t="s">
        <v>75</v>
      </c>
      <c r="F40" s="25" t="s">
        <v>76</v>
      </c>
    </row>
    <row r="41" spans="1:6" x14ac:dyDescent="0.25">
      <c r="A41" t="s">
        <v>70</v>
      </c>
      <c r="D41" s="23">
        <f>B36*C36</f>
        <v>260400.00000000003</v>
      </c>
      <c r="E41" s="23">
        <f>(B36)*C36</f>
        <v>260400.00000000003</v>
      </c>
      <c r="F41" s="23">
        <f>(B36-E43)*C36</f>
        <v>247380.00000000003</v>
      </c>
    </row>
    <row r="42" spans="1:6" x14ac:dyDescent="0.25">
      <c r="D42" s="23">
        <f>B37*C37</f>
        <v>93000</v>
      </c>
      <c r="E42" s="23">
        <f>D42</f>
        <v>93000</v>
      </c>
      <c r="F42" s="23">
        <f>(B37-E44)*C37</f>
        <v>81375</v>
      </c>
    </row>
    <row r="43" spans="1:6" x14ac:dyDescent="0.25">
      <c r="A43" t="s">
        <v>71</v>
      </c>
      <c r="E43" s="23">
        <f>B36/D36</f>
        <v>372000</v>
      </c>
      <c r="F43" s="23">
        <f>(B36/D36)</f>
        <v>372000</v>
      </c>
    </row>
    <row r="44" spans="1:6" x14ac:dyDescent="0.25">
      <c r="E44" s="23">
        <f>B37/D37</f>
        <v>232500</v>
      </c>
      <c r="F44" s="23">
        <f>B37/D37</f>
        <v>232500</v>
      </c>
    </row>
    <row r="45" spans="1:6" x14ac:dyDescent="0.25">
      <c r="A45" s="25" t="s">
        <v>77</v>
      </c>
      <c r="D45" s="26">
        <f>SUM(D41:D44)</f>
        <v>353400</v>
      </c>
      <c r="E45" s="26">
        <f t="shared" ref="E45" si="4">SUM(E41:E44)</f>
        <v>957900</v>
      </c>
      <c r="F45" s="26">
        <f t="shared" ref="F45" si="5">SUM(F41:F44)</f>
        <v>933255</v>
      </c>
    </row>
    <row r="47" spans="1:6" x14ac:dyDescent="0.25">
      <c r="A47" s="25" t="s">
        <v>85</v>
      </c>
    </row>
    <row r="48" spans="1:6" x14ac:dyDescent="0.25">
      <c r="B48" t="s">
        <v>67</v>
      </c>
      <c r="C48" t="s">
        <v>70</v>
      </c>
      <c r="D48" t="s">
        <v>72</v>
      </c>
    </row>
    <row r="49" spans="1:6" x14ac:dyDescent="0.25">
      <c r="B49" s="23">
        <v>9300000</v>
      </c>
    </row>
    <row r="50" spans="1:6" x14ac:dyDescent="0.25">
      <c r="A50" t="s">
        <v>68</v>
      </c>
      <c r="B50" s="23">
        <f>B49*80%</f>
        <v>7440000</v>
      </c>
      <c r="C50" s="24">
        <v>3.5000000000000003E-2</v>
      </c>
      <c r="D50">
        <v>20</v>
      </c>
    </row>
    <row r="51" spans="1:6" x14ac:dyDescent="0.25">
      <c r="A51" t="s">
        <v>69</v>
      </c>
      <c r="B51" s="23">
        <f>B49*20%</f>
        <v>1860000</v>
      </c>
      <c r="C51" s="5">
        <v>0.05</v>
      </c>
      <c r="D51">
        <v>8</v>
      </c>
    </row>
    <row r="54" spans="1:6" x14ac:dyDescent="0.25">
      <c r="A54" s="25"/>
      <c r="B54" s="25" t="s">
        <v>78</v>
      </c>
      <c r="C54" s="25" t="s">
        <v>73</v>
      </c>
      <c r="D54" s="25" t="s">
        <v>74</v>
      </c>
      <c r="E54" s="25" t="s">
        <v>75</v>
      </c>
      <c r="F54" s="25" t="s">
        <v>76</v>
      </c>
    </row>
    <row r="55" spans="1:6" x14ac:dyDescent="0.25">
      <c r="A55" t="s">
        <v>70</v>
      </c>
      <c r="E55" s="23">
        <f>B50*C50</f>
        <v>260400.00000000003</v>
      </c>
      <c r="F55" s="23">
        <f>(B50)*C50</f>
        <v>260400.00000000003</v>
      </c>
    </row>
    <row r="56" spans="1:6" x14ac:dyDescent="0.25">
      <c r="E56" s="23">
        <f>B51*C51</f>
        <v>93000</v>
      </c>
      <c r="F56" s="23">
        <f>E56</f>
        <v>93000</v>
      </c>
    </row>
    <row r="57" spans="1:6" x14ac:dyDescent="0.25">
      <c r="A57" t="s">
        <v>71</v>
      </c>
      <c r="F57" s="23">
        <f>B50/D50</f>
        <v>372000</v>
      </c>
    </row>
    <row r="58" spans="1:6" x14ac:dyDescent="0.25">
      <c r="F58" s="23">
        <f>B51/D51</f>
        <v>232500</v>
      </c>
    </row>
    <row r="59" spans="1:6" x14ac:dyDescent="0.25">
      <c r="A59" s="25" t="s">
        <v>77</v>
      </c>
      <c r="E59" s="26">
        <f>SUM(E55:E58)</f>
        <v>353400</v>
      </c>
      <c r="F59" s="26">
        <f t="shared" ref="F59" si="6">SUM(F55:F58)</f>
        <v>957900</v>
      </c>
    </row>
    <row r="61" spans="1:6" ht="15.75" x14ac:dyDescent="0.25">
      <c r="A61" s="27" t="s">
        <v>86</v>
      </c>
      <c r="B61" s="28">
        <f>B13+B31+B45+B59</f>
        <v>353400</v>
      </c>
      <c r="C61" s="28">
        <f t="shared" ref="C61:F61" si="7">C13+C31+C45+C59</f>
        <v>1311300</v>
      </c>
      <c r="D61" s="28">
        <f t="shared" si="7"/>
        <v>2244555</v>
      </c>
      <c r="E61" s="28">
        <f t="shared" si="7"/>
        <v>3153165</v>
      </c>
      <c r="F61" s="28">
        <f t="shared" si="7"/>
        <v>3683730</v>
      </c>
    </row>
  </sheetData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57A2D-923C-4906-B20D-EABE7AF00532}">
  <dimension ref="A1:E510"/>
  <sheetViews>
    <sheetView tabSelected="1" topLeftCell="A287" workbookViewId="0">
      <selection activeCell="B248" sqref="B248"/>
    </sheetView>
  </sheetViews>
  <sheetFormatPr defaultRowHeight="15" x14ac:dyDescent="0.25"/>
  <cols>
    <col min="1" max="1" width="15.5703125" customWidth="1"/>
    <col min="2" max="2" width="47" bestFit="1" customWidth="1"/>
    <col min="3" max="3" width="37.28515625" bestFit="1" customWidth="1"/>
    <col min="4" max="4" width="17" bestFit="1" customWidth="1"/>
    <col min="5" max="5" width="20.140625" customWidth="1"/>
  </cols>
  <sheetData>
    <row r="1" spans="1:5" ht="15.75" x14ac:dyDescent="0.25">
      <c r="A1" s="4" t="s">
        <v>0</v>
      </c>
    </row>
    <row r="3" spans="1:5" ht="30" x14ac:dyDescent="0.25">
      <c r="A3" t="s">
        <v>45</v>
      </c>
      <c r="B3" t="s">
        <v>4</v>
      </c>
      <c r="C3" t="s">
        <v>44</v>
      </c>
      <c r="D3" s="1" t="s">
        <v>1</v>
      </c>
      <c r="E3" t="s">
        <v>2</v>
      </c>
    </row>
    <row r="4" spans="1:5" x14ac:dyDescent="0.25">
      <c r="A4" s="2">
        <v>44927</v>
      </c>
      <c r="B4" t="s">
        <v>40</v>
      </c>
      <c r="C4" t="s">
        <v>24</v>
      </c>
      <c r="D4" s="3">
        <v>9300000</v>
      </c>
      <c r="E4" s="3">
        <f>D4</f>
        <v>9300000</v>
      </c>
    </row>
    <row r="5" spans="1:5" x14ac:dyDescent="0.25">
      <c r="A5" s="2">
        <v>45292</v>
      </c>
      <c r="B5" t="s">
        <v>12</v>
      </c>
      <c r="C5" t="s">
        <v>24</v>
      </c>
      <c r="D5" s="3">
        <v>9300000</v>
      </c>
      <c r="E5" s="3">
        <f t="shared" ref="E5:E109" si="0">E4+D5</f>
        <v>18600000</v>
      </c>
    </row>
    <row r="6" spans="1:5" x14ac:dyDescent="0.25">
      <c r="A6" s="2">
        <v>45658</v>
      </c>
      <c r="B6" t="s">
        <v>13</v>
      </c>
      <c r="C6" t="s">
        <v>24</v>
      </c>
      <c r="D6" s="3">
        <v>9300000</v>
      </c>
      <c r="E6" s="3">
        <f t="shared" si="0"/>
        <v>27900000</v>
      </c>
    </row>
    <row r="7" spans="1:5" x14ac:dyDescent="0.25">
      <c r="A7" s="2">
        <v>46023</v>
      </c>
      <c r="B7" t="s">
        <v>14</v>
      </c>
      <c r="C7" t="s">
        <v>24</v>
      </c>
      <c r="D7" s="3">
        <v>9300000</v>
      </c>
      <c r="E7" s="3">
        <f t="shared" si="0"/>
        <v>37200000</v>
      </c>
    </row>
    <row r="8" spans="1:5" x14ac:dyDescent="0.25">
      <c r="A8" s="2">
        <v>45291</v>
      </c>
      <c r="B8" t="s">
        <v>52</v>
      </c>
      <c r="C8" s="5" t="s">
        <v>57</v>
      </c>
      <c r="D8" s="3">
        <f>-9300000*0.03*0.2</f>
        <v>-55800</v>
      </c>
      <c r="E8" s="3">
        <f t="shared" si="0"/>
        <v>37144200</v>
      </c>
    </row>
    <row r="9" spans="1:5" x14ac:dyDescent="0.25">
      <c r="A9" s="2">
        <v>45657</v>
      </c>
      <c r="B9" t="s">
        <v>53</v>
      </c>
      <c r="C9" s="5" t="s">
        <v>57</v>
      </c>
      <c r="D9" s="3">
        <f>-9300000*0.03*2*0.2</f>
        <v>-111600</v>
      </c>
      <c r="E9" s="3">
        <f t="shared" si="0"/>
        <v>37032600</v>
      </c>
    </row>
    <row r="10" spans="1:5" x14ac:dyDescent="0.25">
      <c r="A10" s="2">
        <v>46022</v>
      </c>
      <c r="B10" t="s">
        <v>54</v>
      </c>
      <c r="C10" s="5" t="s">
        <v>57</v>
      </c>
      <c r="D10" s="3">
        <f>-9300000*0.03*3*0.2</f>
        <v>-167400</v>
      </c>
      <c r="E10" s="3">
        <f t="shared" si="0"/>
        <v>36865200</v>
      </c>
    </row>
    <row r="11" spans="1:5" x14ac:dyDescent="0.25">
      <c r="A11" s="2">
        <v>46387</v>
      </c>
      <c r="B11" t="s">
        <v>55</v>
      </c>
      <c r="C11" s="5" t="s">
        <v>57</v>
      </c>
      <c r="D11" s="3">
        <f>-9300000*0.03*4*0.2</f>
        <v>-223200</v>
      </c>
      <c r="E11" s="3">
        <f t="shared" si="0"/>
        <v>36642000</v>
      </c>
    </row>
    <row r="12" spans="1:5" x14ac:dyDescent="0.25">
      <c r="A12" s="2">
        <v>46752</v>
      </c>
      <c r="B12" t="s">
        <v>56</v>
      </c>
      <c r="C12" s="5" t="s">
        <v>57</v>
      </c>
      <c r="D12" s="3">
        <f>-9300000*0.03*4*0.2</f>
        <v>-223200</v>
      </c>
      <c r="E12" s="3">
        <f t="shared" si="0"/>
        <v>36418800</v>
      </c>
    </row>
    <row r="13" spans="1:5" x14ac:dyDescent="0.25">
      <c r="A13" s="2">
        <v>44927</v>
      </c>
      <c r="B13" t="s">
        <v>18</v>
      </c>
      <c r="C13" t="s">
        <v>19</v>
      </c>
      <c r="D13" s="3">
        <v>-14000</v>
      </c>
      <c r="E13" s="3">
        <f t="shared" si="0"/>
        <v>36404800</v>
      </c>
    </row>
    <row r="14" spans="1:5" x14ac:dyDescent="0.25">
      <c r="A14" s="2">
        <v>45292</v>
      </c>
      <c r="B14" t="s">
        <v>18</v>
      </c>
      <c r="C14" t="s">
        <v>20</v>
      </c>
      <c r="D14" s="3">
        <v>-14000</v>
      </c>
      <c r="E14" s="3">
        <f t="shared" si="0"/>
        <v>36390800</v>
      </c>
    </row>
    <row r="15" spans="1:5" x14ac:dyDescent="0.25">
      <c r="A15" s="2">
        <v>45658</v>
      </c>
      <c r="B15" t="s">
        <v>18</v>
      </c>
      <c r="C15" t="s">
        <v>21</v>
      </c>
      <c r="D15" s="3">
        <v>-14000</v>
      </c>
      <c r="E15" s="3">
        <f t="shared" si="0"/>
        <v>36376800</v>
      </c>
    </row>
    <row r="16" spans="1:5" x14ac:dyDescent="0.25">
      <c r="A16" s="2">
        <v>46023</v>
      </c>
      <c r="B16" t="s">
        <v>18</v>
      </c>
      <c r="C16" t="s">
        <v>22</v>
      </c>
      <c r="D16" s="3">
        <v>-14000</v>
      </c>
      <c r="E16" s="3">
        <f t="shared" si="0"/>
        <v>36362800</v>
      </c>
    </row>
    <row r="17" spans="1:5" x14ac:dyDescent="0.25">
      <c r="A17" s="2">
        <v>46024</v>
      </c>
      <c r="B17" t="s">
        <v>18</v>
      </c>
      <c r="C17" t="s">
        <v>23</v>
      </c>
      <c r="D17" s="3">
        <v>-14000</v>
      </c>
      <c r="E17" s="3">
        <f t="shared" si="0"/>
        <v>36348800</v>
      </c>
    </row>
    <row r="18" spans="1:5" x14ac:dyDescent="0.25">
      <c r="A18" s="2">
        <v>44958</v>
      </c>
      <c r="B18" t="s">
        <v>87</v>
      </c>
      <c r="C18" t="s">
        <v>6</v>
      </c>
      <c r="D18" s="3">
        <v>-25000</v>
      </c>
      <c r="E18" s="3">
        <f t="shared" si="0"/>
        <v>36323800</v>
      </c>
    </row>
    <row r="19" spans="1:5" x14ac:dyDescent="0.25">
      <c r="A19" s="2">
        <v>44958</v>
      </c>
      <c r="B19" t="s">
        <v>87</v>
      </c>
      <c r="C19" t="s">
        <v>5</v>
      </c>
      <c r="D19" s="3">
        <v>-600000</v>
      </c>
      <c r="E19" s="3">
        <f t="shared" si="0"/>
        <v>35723800</v>
      </c>
    </row>
    <row r="20" spans="1:5" x14ac:dyDescent="0.25">
      <c r="A20" s="2">
        <v>44986</v>
      </c>
      <c r="B20" t="s">
        <v>87</v>
      </c>
      <c r="C20" t="s">
        <v>7</v>
      </c>
      <c r="D20" s="3">
        <v>-150000</v>
      </c>
      <c r="E20" s="3">
        <f t="shared" si="0"/>
        <v>35573800</v>
      </c>
    </row>
    <row r="21" spans="1:5" x14ac:dyDescent="0.25">
      <c r="A21" s="2">
        <v>45017</v>
      </c>
      <c r="B21" t="s">
        <v>87</v>
      </c>
      <c r="C21" t="s">
        <v>9</v>
      </c>
      <c r="D21" s="3">
        <f>-0.25*1260000</f>
        <v>-315000</v>
      </c>
      <c r="E21" s="3">
        <f t="shared" si="0"/>
        <v>35258800</v>
      </c>
    </row>
    <row r="22" spans="1:5" x14ac:dyDescent="0.25">
      <c r="A22" s="2">
        <v>45047</v>
      </c>
      <c r="B22" t="s">
        <v>87</v>
      </c>
      <c r="C22" t="s">
        <v>8</v>
      </c>
      <c r="D22" s="3">
        <v>-60000</v>
      </c>
      <c r="E22" s="3">
        <f t="shared" si="0"/>
        <v>35198800</v>
      </c>
    </row>
    <row r="23" spans="1:5" x14ac:dyDescent="0.25">
      <c r="A23" s="2">
        <v>45047</v>
      </c>
      <c r="B23" t="s">
        <v>87</v>
      </c>
      <c r="C23" t="s">
        <v>10</v>
      </c>
      <c r="D23" s="3">
        <f>-0.75*1260000</f>
        <v>-945000</v>
      </c>
      <c r="E23" s="3">
        <f t="shared" si="0"/>
        <v>34253800</v>
      </c>
    </row>
    <row r="24" spans="1:5" x14ac:dyDescent="0.25">
      <c r="A24" s="2">
        <v>45298</v>
      </c>
      <c r="B24" t="s">
        <v>87</v>
      </c>
      <c r="C24" t="s">
        <v>28</v>
      </c>
      <c r="D24" s="3">
        <f>127765*0.3</f>
        <v>38329.5</v>
      </c>
      <c r="E24" s="3">
        <f t="shared" si="0"/>
        <v>34292129.5</v>
      </c>
    </row>
    <row r="25" spans="1:5" x14ac:dyDescent="0.25">
      <c r="A25" s="2">
        <v>45114</v>
      </c>
      <c r="B25" t="s">
        <v>87</v>
      </c>
      <c r="C25" t="s">
        <v>29</v>
      </c>
      <c r="D25" s="3">
        <f>127765*0.5</f>
        <v>63882.5</v>
      </c>
      <c r="E25" s="3">
        <f t="shared" si="0"/>
        <v>34356012</v>
      </c>
    </row>
    <row r="26" spans="1:5" x14ac:dyDescent="0.25">
      <c r="A26" s="2">
        <v>45292</v>
      </c>
      <c r="B26" t="s">
        <v>87</v>
      </c>
      <c r="C26" t="s">
        <v>17</v>
      </c>
      <c r="D26" s="3">
        <f>-1260000*0.01</f>
        <v>-12600</v>
      </c>
      <c r="E26" s="3">
        <f t="shared" si="0"/>
        <v>34343412</v>
      </c>
    </row>
    <row r="27" spans="1:5" x14ac:dyDescent="0.25">
      <c r="A27" s="2">
        <v>45664</v>
      </c>
      <c r="B27" t="s">
        <v>87</v>
      </c>
      <c r="C27" t="s">
        <v>30</v>
      </c>
      <c r="D27" s="3">
        <f>127765*0.5</f>
        <v>63882.5</v>
      </c>
      <c r="E27" s="3">
        <f t="shared" si="0"/>
        <v>34407294.5</v>
      </c>
    </row>
    <row r="28" spans="1:5" x14ac:dyDescent="0.25">
      <c r="A28" s="2">
        <v>45474</v>
      </c>
      <c r="B28" t="s">
        <v>87</v>
      </c>
      <c r="C28" t="s">
        <v>31</v>
      </c>
      <c r="D28" s="3">
        <f t="shared" ref="D28" si="1">127765*0.5</f>
        <v>63882.5</v>
      </c>
      <c r="E28" s="3">
        <f t="shared" si="0"/>
        <v>34471177</v>
      </c>
    </row>
    <row r="29" spans="1:5" x14ac:dyDescent="0.25">
      <c r="A29" s="2">
        <v>45658</v>
      </c>
      <c r="B29" t="s">
        <v>87</v>
      </c>
      <c r="C29" t="s">
        <v>25</v>
      </c>
      <c r="D29" s="3">
        <f>-1260000*0.01</f>
        <v>-12600</v>
      </c>
      <c r="E29" s="3">
        <f t="shared" si="0"/>
        <v>34458577</v>
      </c>
    </row>
    <row r="30" spans="1:5" x14ac:dyDescent="0.25">
      <c r="A30" s="2">
        <v>45839</v>
      </c>
      <c r="B30" t="s">
        <v>87</v>
      </c>
      <c r="C30" t="s">
        <v>32</v>
      </c>
      <c r="D30" s="3">
        <f>127765*0.5</f>
        <v>63882.5</v>
      </c>
      <c r="E30" s="3">
        <f t="shared" si="0"/>
        <v>34522459.5</v>
      </c>
    </row>
    <row r="31" spans="1:5" x14ac:dyDescent="0.25">
      <c r="A31" s="2">
        <v>46023</v>
      </c>
      <c r="B31" t="s">
        <v>87</v>
      </c>
      <c r="C31" t="s">
        <v>33</v>
      </c>
      <c r="D31" s="3">
        <f t="shared" ref="D31:D34" si="2">127765*0.5</f>
        <v>63882.5</v>
      </c>
      <c r="E31" s="3">
        <f t="shared" si="0"/>
        <v>34586342</v>
      </c>
    </row>
    <row r="32" spans="1:5" x14ac:dyDescent="0.25">
      <c r="A32" s="2">
        <v>46023</v>
      </c>
      <c r="B32" t="s">
        <v>87</v>
      </c>
      <c r="C32" t="s">
        <v>26</v>
      </c>
      <c r="D32" s="3">
        <f>-1260000*0.01</f>
        <v>-12600</v>
      </c>
      <c r="E32" s="3">
        <f t="shared" si="0"/>
        <v>34573742</v>
      </c>
    </row>
    <row r="33" spans="1:5" x14ac:dyDescent="0.25">
      <c r="A33" s="2">
        <v>46204</v>
      </c>
      <c r="B33" t="s">
        <v>87</v>
      </c>
      <c r="C33" t="s">
        <v>34</v>
      </c>
      <c r="D33" s="3">
        <f>127765*0.5</f>
        <v>63882.5</v>
      </c>
      <c r="E33" s="3">
        <f t="shared" si="0"/>
        <v>34637624.5</v>
      </c>
    </row>
    <row r="34" spans="1:5" x14ac:dyDescent="0.25">
      <c r="A34" s="2">
        <v>46388</v>
      </c>
      <c r="B34" t="s">
        <v>87</v>
      </c>
      <c r="C34" t="s">
        <v>35</v>
      </c>
      <c r="D34" s="3">
        <f t="shared" si="2"/>
        <v>63882.5</v>
      </c>
      <c r="E34" s="3">
        <f t="shared" si="0"/>
        <v>34701507</v>
      </c>
    </row>
    <row r="35" spans="1:5" x14ac:dyDescent="0.25">
      <c r="A35" s="2">
        <v>46388</v>
      </c>
      <c r="B35" t="s">
        <v>87</v>
      </c>
      <c r="C35" t="s">
        <v>27</v>
      </c>
      <c r="D35" s="3">
        <f>-1260000*0.01</f>
        <v>-12600</v>
      </c>
      <c r="E35" s="3">
        <f t="shared" si="0"/>
        <v>34688907</v>
      </c>
    </row>
    <row r="36" spans="1:5" x14ac:dyDescent="0.25">
      <c r="A36" s="2">
        <v>46569</v>
      </c>
      <c r="B36" t="s">
        <v>87</v>
      </c>
      <c r="C36" t="s">
        <v>36</v>
      </c>
      <c r="D36" s="3">
        <f>127765*0.5</f>
        <v>63882.5</v>
      </c>
      <c r="E36" s="3">
        <f t="shared" si="0"/>
        <v>34752789.5</v>
      </c>
    </row>
    <row r="37" spans="1:5" x14ac:dyDescent="0.25">
      <c r="A37" s="2">
        <v>46753</v>
      </c>
      <c r="B37" t="s">
        <v>87</v>
      </c>
      <c r="C37" t="s">
        <v>37</v>
      </c>
      <c r="D37" s="3">
        <f t="shared" ref="D37" si="3">127765*0.5</f>
        <v>63882.5</v>
      </c>
      <c r="E37" s="3">
        <f t="shared" si="0"/>
        <v>34816672</v>
      </c>
    </row>
    <row r="38" spans="1:5" x14ac:dyDescent="0.25">
      <c r="A38" s="2">
        <v>46753</v>
      </c>
      <c r="B38" t="s">
        <v>87</v>
      </c>
      <c r="C38" t="s">
        <v>38</v>
      </c>
      <c r="D38" s="3">
        <f>-1260000*0.01</f>
        <v>-12600</v>
      </c>
      <c r="E38" s="3">
        <f t="shared" si="0"/>
        <v>34804072</v>
      </c>
    </row>
    <row r="39" spans="1:5" x14ac:dyDescent="0.25">
      <c r="A39" s="2">
        <v>44986</v>
      </c>
      <c r="B39" t="s">
        <v>88</v>
      </c>
      <c r="C39" t="s">
        <v>6</v>
      </c>
      <c r="D39" s="3">
        <v>-100000</v>
      </c>
      <c r="E39" s="3">
        <f t="shared" si="0"/>
        <v>34704072</v>
      </c>
    </row>
    <row r="40" spans="1:5" x14ac:dyDescent="0.25">
      <c r="A40" s="2">
        <v>45017</v>
      </c>
      <c r="B40" t="s">
        <v>88</v>
      </c>
      <c r="C40" t="s">
        <v>15</v>
      </c>
      <c r="D40" s="3">
        <v>-50000</v>
      </c>
      <c r="E40" s="3">
        <f t="shared" si="0"/>
        <v>34654072</v>
      </c>
    </row>
    <row r="41" spans="1:5" x14ac:dyDescent="0.25">
      <c r="A41" s="2">
        <v>45139</v>
      </c>
      <c r="B41" t="s">
        <v>88</v>
      </c>
      <c r="C41" t="s">
        <v>16</v>
      </c>
      <c r="D41" s="3">
        <v>-300000</v>
      </c>
      <c r="E41" s="3">
        <f t="shared" si="0"/>
        <v>34354072</v>
      </c>
    </row>
    <row r="42" spans="1:5" x14ac:dyDescent="0.25">
      <c r="A42" s="2">
        <v>45139</v>
      </c>
      <c r="B42" t="s">
        <v>88</v>
      </c>
      <c r="C42" t="s">
        <v>9</v>
      </c>
      <c r="D42" s="3">
        <f>-300*9000*0.25</f>
        <v>-675000</v>
      </c>
      <c r="E42" s="3">
        <f t="shared" si="0"/>
        <v>33679072</v>
      </c>
    </row>
    <row r="43" spans="1:5" x14ac:dyDescent="0.25">
      <c r="A43" s="2">
        <v>45231</v>
      </c>
      <c r="B43" t="s">
        <v>88</v>
      </c>
      <c r="C43" t="s">
        <v>8</v>
      </c>
      <c r="D43" s="3">
        <v>-150000</v>
      </c>
      <c r="E43" s="3">
        <f t="shared" si="0"/>
        <v>33529072</v>
      </c>
    </row>
    <row r="44" spans="1:5" x14ac:dyDescent="0.25">
      <c r="A44" s="2">
        <v>45291</v>
      </c>
      <c r="B44" t="s">
        <v>88</v>
      </c>
      <c r="C44" t="s">
        <v>10</v>
      </c>
      <c r="D44" s="3">
        <f>-300*9000*0.75</f>
        <v>-2025000</v>
      </c>
      <c r="E44" s="3">
        <f t="shared" si="0"/>
        <v>31504072</v>
      </c>
    </row>
    <row r="45" spans="1:5" x14ac:dyDescent="0.25">
      <c r="A45" s="2">
        <v>45292</v>
      </c>
      <c r="B45" t="s">
        <v>88</v>
      </c>
      <c r="C45" t="s">
        <v>28</v>
      </c>
      <c r="D45" s="3">
        <f>220508*0.2</f>
        <v>44101.600000000006</v>
      </c>
      <c r="E45" s="3">
        <f t="shared" si="0"/>
        <v>31548173.600000001</v>
      </c>
    </row>
    <row r="46" spans="1:5" x14ac:dyDescent="0.25">
      <c r="A46" s="2">
        <v>45657</v>
      </c>
      <c r="B46" t="s">
        <v>88</v>
      </c>
      <c r="C46" t="s">
        <v>39</v>
      </c>
      <c r="D46" s="3">
        <f>-300*6*10</f>
        <v>-18000</v>
      </c>
      <c r="E46" s="3">
        <f t="shared" si="0"/>
        <v>31530173.600000001</v>
      </c>
    </row>
    <row r="47" spans="1:5" x14ac:dyDescent="0.25">
      <c r="A47" s="2">
        <v>45292</v>
      </c>
      <c r="B47" t="s">
        <v>88</v>
      </c>
      <c r="C47" t="s">
        <v>17</v>
      </c>
      <c r="D47" s="3">
        <f>-2700000*0.0075</f>
        <v>-20250</v>
      </c>
      <c r="E47" s="3">
        <f t="shared" si="0"/>
        <v>31509923.600000001</v>
      </c>
    </row>
    <row r="48" spans="1:5" x14ac:dyDescent="0.25">
      <c r="A48" s="2">
        <v>45474</v>
      </c>
      <c r="B48" t="s">
        <v>88</v>
      </c>
      <c r="C48" t="s">
        <v>31</v>
      </c>
      <c r="D48" s="3">
        <f>220508*0.5</f>
        <v>110254</v>
      </c>
      <c r="E48" s="3">
        <f t="shared" si="0"/>
        <v>31620177.600000001</v>
      </c>
    </row>
    <row r="49" spans="1:5" x14ac:dyDescent="0.25">
      <c r="A49" s="2">
        <v>45658</v>
      </c>
      <c r="B49" t="s">
        <v>88</v>
      </c>
      <c r="C49" t="s">
        <v>30</v>
      </c>
      <c r="D49" s="3">
        <f>220508*0.5</f>
        <v>110254</v>
      </c>
      <c r="E49" s="3">
        <f t="shared" si="0"/>
        <v>31730431.600000001</v>
      </c>
    </row>
    <row r="50" spans="1:5" x14ac:dyDescent="0.25">
      <c r="A50" s="2">
        <v>46022</v>
      </c>
      <c r="B50" t="s">
        <v>88</v>
      </c>
      <c r="C50" t="s">
        <v>41</v>
      </c>
      <c r="D50" s="3">
        <f>-300*6*10</f>
        <v>-18000</v>
      </c>
      <c r="E50" s="3">
        <f t="shared" si="0"/>
        <v>31712431.600000001</v>
      </c>
    </row>
    <row r="51" spans="1:5" x14ac:dyDescent="0.25">
      <c r="A51" s="2">
        <v>45658</v>
      </c>
      <c r="B51" t="s">
        <v>88</v>
      </c>
      <c r="C51" t="s">
        <v>25</v>
      </c>
      <c r="D51" s="3">
        <f>-2700000*0.0075</f>
        <v>-20250</v>
      </c>
      <c r="E51" s="3">
        <f t="shared" si="0"/>
        <v>31692181.600000001</v>
      </c>
    </row>
    <row r="52" spans="1:5" x14ac:dyDescent="0.25">
      <c r="A52" s="2">
        <v>45839</v>
      </c>
      <c r="B52" t="s">
        <v>88</v>
      </c>
      <c r="C52" t="s">
        <v>32</v>
      </c>
      <c r="D52" s="3">
        <f>220508*0.5</f>
        <v>110254</v>
      </c>
      <c r="E52" s="3">
        <f t="shared" si="0"/>
        <v>31802435.600000001</v>
      </c>
    </row>
    <row r="53" spans="1:5" x14ac:dyDescent="0.25">
      <c r="A53" s="2">
        <v>46023</v>
      </c>
      <c r="B53" t="s">
        <v>88</v>
      </c>
      <c r="C53" t="s">
        <v>33</v>
      </c>
      <c r="D53" s="3">
        <f>220508*0.5</f>
        <v>110254</v>
      </c>
      <c r="E53" s="3">
        <f t="shared" si="0"/>
        <v>31912689.600000001</v>
      </c>
    </row>
    <row r="54" spans="1:5" x14ac:dyDescent="0.25">
      <c r="A54" s="2">
        <v>46387</v>
      </c>
      <c r="B54" t="s">
        <v>88</v>
      </c>
      <c r="C54" t="s">
        <v>42</v>
      </c>
      <c r="D54" s="3">
        <f>-300*6*10</f>
        <v>-18000</v>
      </c>
      <c r="E54" s="3">
        <f t="shared" si="0"/>
        <v>31894689.600000001</v>
      </c>
    </row>
    <row r="55" spans="1:5" x14ac:dyDescent="0.25">
      <c r="A55" s="2">
        <v>46023</v>
      </c>
      <c r="B55" t="s">
        <v>88</v>
      </c>
      <c r="C55" t="s">
        <v>26</v>
      </c>
      <c r="D55" s="3">
        <f>-2700000*0.0075</f>
        <v>-20250</v>
      </c>
      <c r="E55" s="3">
        <f t="shared" si="0"/>
        <v>31874439.600000001</v>
      </c>
    </row>
    <row r="56" spans="1:5" x14ac:dyDescent="0.25">
      <c r="A56" s="2">
        <v>46204</v>
      </c>
      <c r="B56" t="s">
        <v>88</v>
      </c>
      <c r="C56" t="s">
        <v>34</v>
      </c>
      <c r="D56" s="3">
        <f>220508*0.5</f>
        <v>110254</v>
      </c>
      <c r="E56" s="3">
        <f t="shared" si="0"/>
        <v>31984693.600000001</v>
      </c>
    </row>
    <row r="57" spans="1:5" x14ac:dyDescent="0.25">
      <c r="A57" s="2">
        <v>46388</v>
      </c>
      <c r="B57" t="s">
        <v>88</v>
      </c>
      <c r="C57" t="s">
        <v>35</v>
      </c>
      <c r="D57" s="3">
        <f>220508*0.5</f>
        <v>110254</v>
      </c>
      <c r="E57" s="3">
        <f t="shared" si="0"/>
        <v>32094947.600000001</v>
      </c>
    </row>
    <row r="58" spans="1:5" x14ac:dyDescent="0.25">
      <c r="A58" s="2">
        <v>46752</v>
      </c>
      <c r="B58" t="s">
        <v>88</v>
      </c>
      <c r="C58" t="s">
        <v>43</v>
      </c>
      <c r="D58" s="3">
        <f>-300*6*10</f>
        <v>-18000</v>
      </c>
      <c r="E58" s="3">
        <f t="shared" si="0"/>
        <v>32076947.600000001</v>
      </c>
    </row>
    <row r="59" spans="1:5" x14ac:dyDescent="0.25">
      <c r="A59" s="2">
        <v>46388</v>
      </c>
      <c r="B59" t="s">
        <v>88</v>
      </c>
      <c r="C59" t="s">
        <v>27</v>
      </c>
      <c r="D59" s="3">
        <f>-2700000*0.0075</f>
        <v>-20250</v>
      </c>
      <c r="E59" s="3">
        <f t="shared" si="0"/>
        <v>32056697.600000001</v>
      </c>
    </row>
    <row r="60" spans="1:5" x14ac:dyDescent="0.25">
      <c r="A60" s="2">
        <v>46569</v>
      </c>
      <c r="B60" t="s">
        <v>88</v>
      </c>
      <c r="C60" t="s">
        <v>36</v>
      </c>
      <c r="D60" s="3">
        <f>220508*0.5</f>
        <v>110254</v>
      </c>
      <c r="E60" s="3">
        <f t="shared" si="0"/>
        <v>32166951.600000001</v>
      </c>
    </row>
    <row r="61" spans="1:5" x14ac:dyDescent="0.25">
      <c r="A61" s="2">
        <v>46753</v>
      </c>
      <c r="B61" t="s">
        <v>88</v>
      </c>
      <c r="C61" t="s">
        <v>37</v>
      </c>
      <c r="D61" s="3">
        <f>220508*0.5</f>
        <v>110254</v>
      </c>
      <c r="E61" s="3">
        <f t="shared" si="0"/>
        <v>32277205.600000001</v>
      </c>
    </row>
    <row r="62" spans="1:5" x14ac:dyDescent="0.25">
      <c r="A62" s="2">
        <v>46753</v>
      </c>
      <c r="B62" t="s">
        <v>88</v>
      </c>
      <c r="C62" t="s">
        <v>38</v>
      </c>
      <c r="D62" s="3">
        <f>-2700000*0.0075</f>
        <v>-20250</v>
      </c>
      <c r="E62" s="3">
        <f t="shared" si="0"/>
        <v>32256955.600000001</v>
      </c>
    </row>
    <row r="63" spans="1:5" x14ac:dyDescent="0.25">
      <c r="A63" s="2">
        <v>45047</v>
      </c>
      <c r="B63" t="s">
        <v>51</v>
      </c>
      <c r="C63" t="s">
        <v>6</v>
      </c>
      <c r="D63" s="3">
        <v>-70000</v>
      </c>
      <c r="E63" s="3">
        <f t="shared" si="0"/>
        <v>32186955.600000001</v>
      </c>
    </row>
    <row r="64" spans="1:5" x14ac:dyDescent="0.25">
      <c r="A64" s="2">
        <v>45108</v>
      </c>
      <c r="B64" t="s">
        <v>51</v>
      </c>
      <c r="C64" t="s">
        <v>16</v>
      </c>
      <c r="D64" s="3">
        <v>-110000</v>
      </c>
      <c r="E64" s="3">
        <f t="shared" si="0"/>
        <v>32076955.600000001</v>
      </c>
    </row>
    <row r="65" spans="1:5" x14ac:dyDescent="0.25">
      <c r="A65" s="2">
        <v>45139</v>
      </c>
      <c r="B65" t="s">
        <v>51</v>
      </c>
      <c r="C65" t="s">
        <v>9</v>
      </c>
      <c r="D65" s="3">
        <f>-1550000*0.25</f>
        <v>-387500</v>
      </c>
      <c r="E65" s="3">
        <f t="shared" si="0"/>
        <v>31689455.600000001</v>
      </c>
    </row>
    <row r="66" spans="1:5" x14ac:dyDescent="0.25">
      <c r="A66" s="2">
        <v>45200</v>
      </c>
      <c r="B66" t="s">
        <v>51</v>
      </c>
      <c r="C66" t="s">
        <v>8</v>
      </c>
      <c r="D66" s="3">
        <v>-40000</v>
      </c>
      <c r="E66" s="3">
        <f t="shared" si="0"/>
        <v>31649455.600000001</v>
      </c>
    </row>
    <row r="67" spans="1:5" x14ac:dyDescent="0.25">
      <c r="A67" s="2">
        <v>45231</v>
      </c>
      <c r="B67" t="s">
        <v>51</v>
      </c>
      <c r="C67" t="s">
        <v>10</v>
      </c>
      <c r="D67" s="3">
        <f>-1550000*0.75</f>
        <v>-1162500</v>
      </c>
      <c r="E67" s="3">
        <f t="shared" si="0"/>
        <v>30486955.600000001</v>
      </c>
    </row>
    <row r="68" spans="1:5" x14ac:dyDescent="0.25">
      <c r="A68" s="2">
        <v>45292</v>
      </c>
      <c r="B68" t="s">
        <v>51</v>
      </c>
      <c r="C68" t="s">
        <v>28</v>
      </c>
      <c r="D68" s="3">
        <f>138500*0.1</f>
        <v>13850</v>
      </c>
      <c r="E68" s="3">
        <f t="shared" si="0"/>
        <v>30500805.600000001</v>
      </c>
    </row>
    <row r="69" spans="1:5" x14ac:dyDescent="0.25">
      <c r="A69" s="2">
        <v>45657</v>
      </c>
      <c r="B69" t="s">
        <v>51</v>
      </c>
      <c r="C69" t="s">
        <v>39</v>
      </c>
      <c r="D69" s="3">
        <f>-146*6*10</f>
        <v>-8760</v>
      </c>
      <c r="E69" s="3">
        <f t="shared" si="0"/>
        <v>30492045.600000001</v>
      </c>
    </row>
    <row r="70" spans="1:5" x14ac:dyDescent="0.25">
      <c r="A70" s="2">
        <v>45292</v>
      </c>
      <c r="B70" t="s">
        <v>51</v>
      </c>
      <c r="C70" t="s">
        <v>17</v>
      </c>
      <c r="D70" s="3">
        <f>-1870000*0.0075</f>
        <v>-14025</v>
      </c>
      <c r="E70" s="3">
        <f t="shared" si="0"/>
        <v>30478020.600000001</v>
      </c>
    </row>
    <row r="71" spans="1:5" x14ac:dyDescent="0.25">
      <c r="A71" s="2">
        <v>45474</v>
      </c>
      <c r="B71" t="s">
        <v>51</v>
      </c>
      <c r="C71" t="s">
        <v>31</v>
      </c>
      <c r="D71" s="3">
        <f>138505*0.5</f>
        <v>69252.5</v>
      </c>
      <c r="E71" s="3">
        <f t="shared" si="0"/>
        <v>30547273.100000001</v>
      </c>
    </row>
    <row r="72" spans="1:5" x14ac:dyDescent="0.25">
      <c r="A72" s="2">
        <v>45658</v>
      </c>
      <c r="B72" t="s">
        <v>51</v>
      </c>
      <c r="C72" t="s">
        <v>30</v>
      </c>
      <c r="D72" s="3">
        <f>138505*0.5</f>
        <v>69252.5</v>
      </c>
      <c r="E72" s="3">
        <f t="shared" si="0"/>
        <v>30616525.600000001</v>
      </c>
    </row>
    <row r="73" spans="1:5" x14ac:dyDescent="0.25">
      <c r="A73" s="2">
        <v>46022</v>
      </c>
      <c r="B73" t="s">
        <v>51</v>
      </c>
      <c r="C73" t="s">
        <v>41</v>
      </c>
      <c r="D73" s="3">
        <f>-146*6*10</f>
        <v>-8760</v>
      </c>
      <c r="E73" s="3">
        <f t="shared" si="0"/>
        <v>30607765.600000001</v>
      </c>
    </row>
    <row r="74" spans="1:5" x14ac:dyDescent="0.25">
      <c r="A74" s="2">
        <v>45658</v>
      </c>
      <c r="B74" t="s">
        <v>51</v>
      </c>
      <c r="C74" t="s">
        <v>25</v>
      </c>
      <c r="D74" s="3">
        <f>-1870000*0.0075</f>
        <v>-14025</v>
      </c>
      <c r="E74" s="3">
        <f t="shared" si="0"/>
        <v>30593740.600000001</v>
      </c>
    </row>
    <row r="75" spans="1:5" x14ac:dyDescent="0.25">
      <c r="A75" s="2">
        <v>45839</v>
      </c>
      <c r="B75" t="s">
        <v>51</v>
      </c>
      <c r="C75" t="s">
        <v>32</v>
      </c>
      <c r="D75" s="3">
        <f>138505*0.5</f>
        <v>69252.5</v>
      </c>
      <c r="E75" s="3">
        <f t="shared" si="0"/>
        <v>30662993.100000001</v>
      </c>
    </row>
    <row r="76" spans="1:5" x14ac:dyDescent="0.25">
      <c r="A76" s="2">
        <v>46023</v>
      </c>
      <c r="B76" t="s">
        <v>51</v>
      </c>
      <c r="C76" t="s">
        <v>33</v>
      </c>
      <c r="D76" s="3">
        <f>138505*0.5</f>
        <v>69252.5</v>
      </c>
      <c r="E76" s="3">
        <f t="shared" si="0"/>
        <v>30732245.600000001</v>
      </c>
    </row>
    <row r="77" spans="1:5" x14ac:dyDescent="0.25">
      <c r="A77" s="2">
        <v>46387</v>
      </c>
      <c r="B77" t="s">
        <v>51</v>
      </c>
      <c r="C77" t="s">
        <v>42</v>
      </c>
      <c r="D77" s="3">
        <f>-146*6*10</f>
        <v>-8760</v>
      </c>
      <c r="E77" s="3">
        <f t="shared" si="0"/>
        <v>30723485.600000001</v>
      </c>
    </row>
    <row r="78" spans="1:5" x14ac:dyDescent="0.25">
      <c r="A78" s="2">
        <v>46023</v>
      </c>
      <c r="B78" t="s">
        <v>51</v>
      </c>
      <c r="C78" t="s">
        <v>26</v>
      </c>
      <c r="D78" s="3">
        <f>-1870000*0.0075</f>
        <v>-14025</v>
      </c>
      <c r="E78" s="3">
        <f t="shared" si="0"/>
        <v>30709460.600000001</v>
      </c>
    </row>
    <row r="79" spans="1:5" x14ac:dyDescent="0.25">
      <c r="A79" s="2">
        <v>46204</v>
      </c>
      <c r="B79" t="s">
        <v>51</v>
      </c>
      <c r="C79" t="s">
        <v>34</v>
      </c>
      <c r="D79" s="3">
        <f>138505*0.5</f>
        <v>69252.5</v>
      </c>
      <c r="E79" s="3">
        <f t="shared" si="0"/>
        <v>30778713.100000001</v>
      </c>
    </row>
    <row r="80" spans="1:5" x14ac:dyDescent="0.25">
      <c r="A80" s="2">
        <v>46388</v>
      </c>
      <c r="B80" t="s">
        <v>51</v>
      </c>
      <c r="C80" t="s">
        <v>35</v>
      </c>
      <c r="D80" s="3">
        <f>138505*0.5</f>
        <v>69252.5</v>
      </c>
      <c r="E80" s="3">
        <f t="shared" si="0"/>
        <v>30847965.600000001</v>
      </c>
    </row>
    <row r="81" spans="1:5" x14ac:dyDescent="0.25">
      <c r="A81" s="2">
        <v>46752</v>
      </c>
      <c r="B81" t="s">
        <v>51</v>
      </c>
      <c r="C81" t="s">
        <v>43</v>
      </c>
      <c r="D81" s="3">
        <f>-146*6*10</f>
        <v>-8760</v>
      </c>
      <c r="E81" s="3">
        <f t="shared" si="0"/>
        <v>30839205.600000001</v>
      </c>
    </row>
    <row r="82" spans="1:5" x14ac:dyDescent="0.25">
      <c r="A82" s="2">
        <v>46388</v>
      </c>
      <c r="B82" t="s">
        <v>51</v>
      </c>
      <c r="C82" t="s">
        <v>27</v>
      </c>
      <c r="D82" s="3">
        <f>-1870000*0.0075</f>
        <v>-14025</v>
      </c>
      <c r="E82" s="3">
        <f t="shared" si="0"/>
        <v>30825180.600000001</v>
      </c>
    </row>
    <row r="83" spans="1:5" x14ac:dyDescent="0.25">
      <c r="A83" s="2">
        <v>46569</v>
      </c>
      <c r="B83" t="s">
        <v>51</v>
      </c>
      <c r="C83" t="s">
        <v>36</v>
      </c>
      <c r="D83" s="3">
        <f>138505*0.5</f>
        <v>69252.5</v>
      </c>
      <c r="E83" s="3">
        <f t="shared" si="0"/>
        <v>30894433.100000001</v>
      </c>
    </row>
    <row r="84" spans="1:5" x14ac:dyDescent="0.25">
      <c r="A84" s="2">
        <v>46753</v>
      </c>
      <c r="B84" t="s">
        <v>51</v>
      </c>
      <c r="C84" t="s">
        <v>37</v>
      </c>
      <c r="D84" s="3">
        <f>138505*0.5</f>
        <v>69252.5</v>
      </c>
      <c r="E84" s="3">
        <f t="shared" si="0"/>
        <v>30963685.600000001</v>
      </c>
    </row>
    <row r="85" spans="1:5" x14ac:dyDescent="0.25">
      <c r="A85" s="2">
        <v>46753</v>
      </c>
      <c r="B85" t="s">
        <v>51</v>
      </c>
      <c r="C85" t="s">
        <v>38</v>
      </c>
      <c r="D85" s="3">
        <f>-1870000*0.0075</f>
        <v>-14025</v>
      </c>
      <c r="E85" s="3">
        <f t="shared" si="0"/>
        <v>30949660.600000001</v>
      </c>
    </row>
    <row r="86" spans="1:5" x14ac:dyDescent="0.25">
      <c r="A86" s="2">
        <v>45139</v>
      </c>
      <c r="B86" t="s">
        <v>46</v>
      </c>
      <c r="C86" t="s">
        <v>6</v>
      </c>
      <c r="D86" s="3">
        <v>-75000</v>
      </c>
      <c r="E86" s="3">
        <f t="shared" si="0"/>
        <v>30874660.600000001</v>
      </c>
    </row>
    <row r="87" spans="1:5" x14ac:dyDescent="0.25">
      <c r="A87" s="2">
        <v>45200</v>
      </c>
      <c r="B87" t="s">
        <v>46</v>
      </c>
      <c r="C87" t="s">
        <v>16</v>
      </c>
      <c r="D87" s="3">
        <v>-160000</v>
      </c>
      <c r="E87" s="3">
        <f t="shared" si="0"/>
        <v>30714660.600000001</v>
      </c>
    </row>
    <row r="88" spans="1:5" x14ac:dyDescent="0.25">
      <c r="A88" s="2">
        <v>45231</v>
      </c>
      <c r="B88" t="s">
        <v>46</v>
      </c>
      <c r="C88" t="s">
        <v>9</v>
      </c>
      <c r="D88" s="3">
        <f>-2295000*0.25</f>
        <v>-573750</v>
      </c>
      <c r="E88" s="3">
        <f t="shared" si="0"/>
        <v>30140910.600000001</v>
      </c>
    </row>
    <row r="89" spans="1:5" x14ac:dyDescent="0.25">
      <c r="A89" s="2">
        <v>45291</v>
      </c>
      <c r="B89" t="s">
        <v>46</v>
      </c>
      <c r="C89" t="s">
        <v>8</v>
      </c>
      <c r="D89" s="3">
        <v>-75000</v>
      </c>
      <c r="E89" s="3">
        <f t="shared" si="0"/>
        <v>30065910.600000001</v>
      </c>
    </row>
    <row r="90" spans="1:5" x14ac:dyDescent="0.25">
      <c r="A90" s="2">
        <v>45323</v>
      </c>
      <c r="B90" t="s">
        <v>46</v>
      </c>
      <c r="C90" t="s">
        <v>10</v>
      </c>
      <c r="D90" s="3">
        <f>-2295000*0.75</f>
        <v>-1721250</v>
      </c>
      <c r="E90" s="3">
        <f t="shared" si="0"/>
        <v>28344660.600000001</v>
      </c>
    </row>
    <row r="91" spans="1:5" x14ac:dyDescent="0.25">
      <c r="A91" s="2">
        <v>45108</v>
      </c>
      <c r="B91" t="s">
        <v>46</v>
      </c>
      <c r="C91" t="s">
        <v>28</v>
      </c>
      <c r="D91" s="3">
        <f>0.1*207700</f>
        <v>20770</v>
      </c>
      <c r="E91" s="3">
        <f t="shared" si="0"/>
        <v>28365430.600000001</v>
      </c>
    </row>
    <row r="92" spans="1:5" x14ac:dyDescent="0.25">
      <c r="A92" s="2">
        <v>45657</v>
      </c>
      <c r="B92" t="s">
        <v>46</v>
      </c>
      <c r="C92" t="s">
        <v>39</v>
      </c>
      <c r="D92" s="3">
        <f>-235*6*10</f>
        <v>-14100</v>
      </c>
      <c r="E92" s="3">
        <f t="shared" si="0"/>
        <v>28351330.600000001</v>
      </c>
    </row>
    <row r="93" spans="1:5" x14ac:dyDescent="0.25">
      <c r="A93" s="2">
        <v>45292</v>
      </c>
      <c r="B93" t="s">
        <v>46</v>
      </c>
      <c r="C93" t="s">
        <v>17</v>
      </c>
      <c r="D93" s="3">
        <f>-2605000*0.0075</f>
        <v>-19537.5</v>
      </c>
      <c r="E93" s="3">
        <f t="shared" si="0"/>
        <v>28331793.100000001</v>
      </c>
    </row>
    <row r="94" spans="1:5" x14ac:dyDescent="0.25">
      <c r="A94" s="2">
        <v>45474</v>
      </c>
      <c r="B94" t="s">
        <v>46</v>
      </c>
      <c r="C94" t="s">
        <v>31</v>
      </c>
      <c r="D94" s="3">
        <f>0.5*207700</f>
        <v>103850</v>
      </c>
      <c r="E94" s="3">
        <f t="shared" si="0"/>
        <v>28435643.100000001</v>
      </c>
    </row>
    <row r="95" spans="1:5" x14ac:dyDescent="0.25">
      <c r="A95" s="2">
        <v>45658</v>
      </c>
      <c r="B95" t="s">
        <v>46</v>
      </c>
      <c r="C95" t="s">
        <v>30</v>
      </c>
      <c r="D95" s="3">
        <f>0.5*207700</f>
        <v>103850</v>
      </c>
      <c r="E95" s="3">
        <f t="shared" si="0"/>
        <v>28539493.100000001</v>
      </c>
    </row>
    <row r="96" spans="1:5" x14ac:dyDescent="0.25">
      <c r="A96" s="2">
        <v>46022</v>
      </c>
      <c r="B96" t="s">
        <v>46</v>
      </c>
      <c r="C96" t="s">
        <v>41</v>
      </c>
      <c r="D96" s="3">
        <f t="shared" ref="D96:D104" si="4">-235*6*10</f>
        <v>-14100</v>
      </c>
      <c r="E96" s="3">
        <f t="shared" si="0"/>
        <v>28525393.100000001</v>
      </c>
    </row>
    <row r="97" spans="1:5" x14ac:dyDescent="0.25">
      <c r="A97" s="2">
        <v>45658</v>
      </c>
      <c r="B97" t="s">
        <v>46</v>
      </c>
      <c r="C97" t="s">
        <v>25</v>
      </c>
      <c r="D97" s="3">
        <f>-2605000*0.0075</f>
        <v>-19537.5</v>
      </c>
      <c r="E97" s="3">
        <f t="shared" si="0"/>
        <v>28505855.600000001</v>
      </c>
    </row>
    <row r="98" spans="1:5" x14ac:dyDescent="0.25">
      <c r="A98" s="2">
        <v>45839</v>
      </c>
      <c r="B98" t="s">
        <v>46</v>
      </c>
      <c r="C98" t="s">
        <v>32</v>
      </c>
      <c r="D98" s="3">
        <f>0.5*207700</f>
        <v>103850</v>
      </c>
      <c r="E98" s="3">
        <f t="shared" si="0"/>
        <v>28609705.600000001</v>
      </c>
    </row>
    <row r="99" spans="1:5" x14ac:dyDescent="0.25">
      <c r="A99" s="2">
        <v>46023</v>
      </c>
      <c r="B99" t="s">
        <v>46</v>
      </c>
      <c r="C99" t="s">
        <v>33</v>
      </c>
      <c r="D99" s="3">
        <f>0.5*207700</f>
        <v>103850</v>
      </c>
      <c r="E99" s="3">
        <f t="shared" si="0"/>
        <v>28713555.600000001</v>
      </c>
    </row>
    <row r="100" spans="1:5" x14ac:dyDescent="0.25">
      <c r="A100" s="2">
        <v>46387</v>
      </c>
      <c r="B100" t="s">
        <v>46</v>
      </c>
      <c r="C100" t="s">
        <v>42</v>
      </c>
      <c r="D100" s="3">
        <f t="shared" si="4"/>
        <v>-14100</v>
      </c>
      <c r="E100" s="3">
        <f t="shared" si="0"/>
        <v>28699455.600000001</v>
      </c>
    </row>
    <row r="101" spans="1:5" x14ac:dyDescent="0.25">
      <c r="A101" s="2">
        <v>46023</v>
      </c>
      <c r="B101" t="s">
        <v>46</v>
      </c>
      <c r="C101" t="s">
        <v>26</v>
      </c>
      <c r="D101" s="3">
        <f>-2605000*0.0075</f>
        <v>-19537.5</v>
      </c>
      <c r="E101" s="3">
        <f t="shared" si="0"/>
        <v>28679918.100000001</v>
      </c>
    </row>
    <row r="102" spans="1:5" x14ac:dyDescent="0.25">
      <c r="A102" s="2">
        <v>46204</v>
      </c>
      <c r="B102" t="s">
        <v>46</v>
      </c>
      <c r="C102" t="s">
        <v>34</v>
      </c>
      <c r="D102" s="3">
        <f>0.5*207700</f>
        <v>103850</v>
      </c>
      <c r="E102" s="3">
        <f t="shared" si="0"/>
        <v>28783768.100000001</v>
      </c>
    </row>
    <row r="103" spans="1:5" x14ac:dyDescent="0.25">
      <c r="A103" s="2">
        <v>46388</v>
      </c>
      <c r="B103" t="s">
        <v>46</v>
      </c>
      <c r="C103" t="s">
        <v>35</v>
      </c>
      <c r="D103" s="3">
        <f>0.5*207700</f>
        <v>103850</v>
      </c>
      <c r="E103" s="3">
        <f t="shared" si="0"/>
        <v>28887618.100000001</v>
      </c>
    </row>
    <row r="104" spans="1:5" x14ac:dyDescent="0.25">
      <c r="A104" s="2">
        <v>46752</v>
      </c>
      <c r="B104" t="s">
        <v>46</v>
      </c>
      <c r="C104" t="s">
        <v>43</v>
      </c>
      <c r="D104" s="3">
        <f t="shared" si="4"/>
        <v>-14100</v>
      </c>
      <c r="E104" s="3">
        <f t="shared" si="0"/>
        <v>28873518.100000001</v>
      </c>
    </row>
    <row r="105" spans="1:5" x14ac:dyDescent="0.25">
      <c r="A105" s="2">
        <v>46388</v>
      </c>
      <c r="B105" t="s">
        <v>46</v>
      </c>
      <c r="C105" t="s">
        <v>27</v>
      </c>
      <c r="D105" s="3">
        <f>-2605000*0.0075</f>
        <v>-19537.5</v>
      </c>
      <c r="E105" s="3">
        <f t="shared" si="0"/>
        <v>28853980.600000001</v>
      </c>
    </row>
    <row r="106" spans="1:5" x14ac:dyDescent="0.25">
      <c r="A106" s="2">
        <v>46569</v>
      </c>
      <c r="B106" t="s">
        <v>46</v>
      </c>
      <c r="C106" t="s">
        <v>36</v>
      </c>
      <c r="D106" s="3">
        <f>0.5*207700</f>
        <v>103850</v>
      </c>
      <c r="E106" s="3">
        <f t="shared" si="0"/>
        <v>28957830.600000001</v>
      </c>
    </row>
    <row r="107" spans="1:5" x14ac:dyDescent="0.25">
      <c r="A107" s="2">
        <v>46753</v>
      </c>
      <c r="B107" t="s">
        <v>46</v>
      </c>
      <c r="C107" t="s">
        <v>37</v>
      </c>
      <c r="D107" s="3">
        <f>0.5*207700</f>
        <v>103850</v>
      </c>
      <c r="E107" s="3">
        <f t="shared" si="0"/>
        <v>29061680.600000001</v>
      </c>
    </row>
    <row r="108" spans="1:5" x14ac:dyDescent="0.25">
      <c r="A108" s="2">
        <v>46753</v>
      </c>
      <c r="B108" t="s">
        <v>46</v>
      </c>
      <c r="C108" t="s">
        <v>38</v>
      </c>
      <c r="D108" s="3">
        <f>-2605000*0.0075</f>
        <v>-19537.5</v>
      </c>
      <c r="E108" s="3">
        <f t="shared" si="0"/>
        <v>29042143.100000001</v>
      </c>
    </row>
    <row r="109" spans="1:5" x14ac:dyDescent="0.25">
      <c r="A109" s="2">
        <v>45323</v>
      </c>
      <c r="B109" t="s">
        <v>89</v>
      </c>
      <c r="C109" t="s">
        <v>6</v>
      </c>
      <c r="D109" s="3">
        <v>-40000</v>
      </c>
      <c r="E109" s="3">
        <f t="shared" si="0"/>
        <v>29002143.100000001</v>
      </c>
    </row>
    <row r="110" spans="1:5" x14ac:dyDescent="0.25">
      <c r="A110" s="2">
        <v>45352</v>
      </c>
      <c r="B110" t="s">
        <v>89</v>
      </c>
      <c r="C110" t="s">
        <v>16</v>
      </c>
      <c r="D110" s="3">
        <v>-140000</v>
      </c>
      <c r="E110" s="3">
        <f t="shared" ref="E110:E173" si="5">E109+D110</f>
        <v>28862143.100000001</v>
      </c>
    </row>
    <row r="111" spans="1:5" x14ac:dyDescent="0.25">
      <c r="A111" s="2">
        <v>45383</v>
      </c>
      <c r="B111" t="s">
        <v>89</v>
      </c>
      <c r="C111" t="s">
        <v>9</v>
      </c>
      <c r="D111" s="3">
        <f>-1580000*0.25</f>
        <v>-395000</v>
      </c>
      <c r="E111" s="3">
        <f t="shared" si="5"/>
        <v>28467143.100000001</v>
      </c>
    </row>
    <row r="112" spans="1:5" x14ac:dyDescent="0.25">
      <c r="A112" s="2">
        <v>45444</v>
      </c>
      <c r="B112" t="s">
        <v>89</v>
      </c>
      <c r="C112" t="s">
        <v>8</v>
      </c>
      <c r="D112" s="3">
        <v>-35000</v>
      </c>
      <c r="E112" s="3">
        <f t="shared" si="5"/>
        <v>28432143.100000001</v>
      </c>
    </row>
    <row r="113" spans="1:5" x14ac:dyDescent="0.25">
      <c r="A113" s="2">
        <v>45474</v>
      </c>
      <c r="B113" t="s">
        <v>89</v>
      </c>
      <c r="C113" t="s">
        <v>10</v>
      </c>
      <c r="D113" s="3">
        <f>-1580000*0.75</f>
        <v>-1185000</v>
      </c>
      <c r="E113" s="3">
        <f t="shared" si="5"/>
        <v>27247143.100000001</v>
      </c>
    </row>
    <row r="114" spans="1:5" x14ac:dyDescent="0.25">
      <c r="A114" s="2">
        <v>45657</v>
      </c>
      <c r="B114" t="s">
        <v>89</v>
      </c>
      <c r="C114" t="s">
        <v>39</v>
      </c>
      <c r="D114" s="3">
        <f>-180*6*10</f>
        <v>-10800</v>
      </c>
      <c r="E114" s="3">
        <f t="shared" si="5"/>
        <v>27236343.100000001</v>
      </c>
    </row>
    <row r="115" spans="1:5" x14ac:dyDescent="0.25">
      <c r="A115" s="2">
        <v>45292</v>
      </c>
      <c r="B115" t="s">
        <v>89</v>
      </c>
      <c r="C115" t="s">
        <v>17</v>
      </c>
      <c r="D115" s="3">
        <f>-1800000*0.0075</f>
        <v>-13500</v>
      </c>
      <c r="E115" s="3">
        <f t="shared" si="5"/>
        <v>27222843.100000001</v>
      </c>
    </row>
    <row r="116" spans="1:5" x14ac:dyDescent="0.25">
      <c r="A116" s="2">
        <v>45474</v>
      </c>
      <c r="B116" t="s">
        <v>89</v>
      </c>
      <c r="C116" t="s">
        <v>31</v>
      </c>
      <c r="D116" s="3">
        <f>0.15*205350</f>
        <v>30802.5</v>
      </c>
      <c r="E116" s="3">
        <f t="shared" si="5"/>
        <v>27253645.600000001</v>
      </c>
    </row>
    <row r="117" spans="1:5" x14ac:dyDescent="0.25">
      <c r="A117" s="2">
        <v>45658</v>
      </c>
      <c r="B117" t="s">
        <v>89</v>
      </c>
      <c r="C117" t="s">
        <v>30</v>
      </c>
      <c r="D117" s="3">
        <f>0.5*205350</f>
        <v>102675</v>
      </c>
      <c r="E117" s="3">
        <f t="shared" si="5"/>
        <v>27356320.600000001</v>
      </c>
    </row>
    <row r="118" spans="1:5" x14ac:dyDescent="0.25">
      <c r="A118" s="2">
        <v>46022</v>
      </c>
      <c r="B118" t="s">
        <v>89</v>
      </c>
      <c r="C118" t="s">
        <v>41</v>
      </c>
      <c r="D118" s="3">
        <f>-180*6*10</f>
        <v>-10800</v>
      </c>
      <c r="E118" s="3">
        <f t="shared" si="5"/>
        <v>27345520.600000001</v>
      </c>
    </row>
    <row r="119" spans="1:5" x14ac:dyDescent="0.25">
      <c r="A119" s="2">
        <v>45658</v>
      </c>
      <c r="B119" t="s">
        <v>89</v>
      </c>
      <c r="C119" t="s">
        <v>25</v>
      </c>
      <c r="D119" s="3">
        <f>-1800000*0.0075</f>
        <v>-13500</v>
      </c>
      <c r="E119" s="3">
        <f t="shared" si="5"/>
        <v>27332020.600000001</v>
      </c>
    </row>
    <row r="120" spans="1:5" x14ac:dyDescent="0.25">
      <c r="A120" s="2">
        <v>45839</v>
      </c>
      <c r="B120" t="s">
        <v>89</v>
      </c>
      <c r="C120" t="s">
        <v>32</v>
      </c>
      <c r="D120" s="3">
        <f>0.5*205350</f>
        <v>102675</v>
      </c>
      <c r="E120" s="3">
        <f t="shared" si="5"/>
        <v>27434695.600000001</v>
      </c>
    </row>
    <row r="121" spans="1:5" x14ac:dyDescent="0.25">
      <c r="A121" s="2">
        <v>46023</v>
      </c>
      <c r="B121" t="s">
        <v>89</v>
      </c>
      <c r="C121" t="s">
        <v>33</v>
      </c>
      <c r="D121" s="3">
        <f>0.5*205350</f>
        <v>102675</v>
      </c>
      <c r="E121" s="3">
        <f t="shared" si="5"/>
        <v>27537370.600000001</v>
      </c>
    </row>
    <row r="122" spans="1:5" x14ac:dyDescent="0.25">
      <c r="A122" s="2">
        <v>46387</v>
      </c>
      <c r="B122" t="s">
        <v>89</v>
      </c>
      <c r="C122" t="s">
        <v>42</v>
      </c>
      <c r="D122" s="3">
        <f>-180*6*10</f>
        <v>-10800</v>
      </c>
      <c r="E122" s="3">
        <f t="shared" si="5"/>
        <v>27526570.600000001</v>
      </c>
    </row>
    <row r="123" spans="1:5" x14ac:dyDescent="0.25">
      <c r="A123" s="2">
        <v>46023</v>
      </c>
      <c r="B123" t="s">
        <v>89</v>
      </c>
      <c r="C123" t="s">
        <v>26</v>
      </c>
      <c r="D123" s="3">
        <f>-1800000*0.0075</f>
        <v>-13500</v>
      </c>
      <c r="E123" s="3">
        <f t="shared" si="5"/>
        <v>27513070.600000001</v>
      </c>
    </row>
    <row r="124" spans="1:5" x14ac:dyDescent="0.25">
      <c r="A124" s="2">
        <v>46204</v>
      </c>
      <c r="B124" t="s">
        <v>89</v>
      </c>
      <c r="C124" t="s">
        <v>34</v>
      </c>
      <c r="D124" s="3">
        <f>0.5*205350</f>
        <v>102675</v>
      </c>
      <c r="E124" s="3">
        <f t="shared" si="5"/>
        <v>27615745.600000001</v>
      </c>
    </row>
    <row r="125" spans="1:5" x14ac:dyDescent="0.25">
      <c r="A125" s="2">
        <v>46388</v>
      </c>
      <c r="B125" t="s">
        <v>89</v>
      </c>
      <c r="C125" t="s">
        <v>35</v>
      </c>
      <c r="D125" s="3">
        <f>0.5*205350</f>
        <v>102675</v>
      </c>
      <c r="E125" s="3">
        <f t="shared" si="5"/>
        <v>27718420.600000001</v>
      </c>
    </row>
    <row r="126" spans="1:5" x14ac:dyDescent="0.25">
      <c r="A126" s="2">
        <v>46752</v>
      </c>
      <c r="B126" t="s">
        <v>89</v>
      </c>
      <c r="C126" t="s">
        <v>43</v>
      </c>
      <c r="D126" s="3">
        <f>-180*6*10</f>
        <v>-10800</v>
      </c>
      <c r="E126" s="3">
        <f t="shared" si="5"/>
        <v>27707620.600000001</v>
      </c>
    </row>
    <row r="127" spans="1:5" x14ac:dyDescent="0.25">
      <c r="A127" s="2">
        <v>46388</v>
      </c>
      <c r="B127" t="s">
        <v>89</v>
      </c>
      <c r="C127" t="s">
        <v>27</v>
      </c>
      <c r="D127" s="3">
        <f>-1800000*0.0075</f>
        <v>-13500</v>
      </c>
      <c r="E127" s="3">
        <f t="shared" si="5"/>
        <v>27694120.600000001</v>
      </c>
    </row>
    <row r="128" spans="1:5" x14ac:dyDescent="0.25">
      <c r="A128" s="2">
        <v>46569</v>
      </c>
      <c r="B128" t="s">
        <v>89</v>
      </c>
      <c r="C128" t="s">
        <v>36</v>
      </c>
      <c r="D128" s="3">
        <f>0.5*205350</f>
        <v>102675</v>
      </c>
      <c r="E128" s="3">
        <f t="shared" si="5"/>
        <v>27796795.600000001</v>
      </c>
    </row>
    <row r="129" spans="1:5" x14ac:dyDescent="0.25">
      <c r="A129" s="2">
        <v>46753</v>
      </c>
      <c r="B129" t="s">
        <v>89</v>
      </c>
      <c r="C129" t="s">
        <v>37</v>
      </c>
      <c r="D129" s="3">
        <f>0.5*205350</f>
        <v>102675</v>
      </c>
      <c r="E129" s="3">
        <f t="shared" si="5"/>
        <v>27899470.600000001</v>
      </c>
    </row>
    <row r="130" spans="1:5" x14ac:dyDescent="0.25">
      <c r="A130" s="2">
        <v>46753</v>
      </c>
      <c r="B130" t="s">
        <v>89</v>
      </c>
      <c r="C130" t="s">
        <v>38</v>
      </c>
      <c r="D130" s="3">
        <f>-180*6*10</f>
        <v>-10800</v>
      </c>
      <c r="E130" s="3">
        <f t="shared" si="5"/>
        <v>27888670.600000001</v>
      </c>
    </row>
    <row r="131" spans="1:5" x14ac:dyDescent="0.25">
      <c r="A131" s="2">
        <v>45352</v>
      </c>
      <c r="B131" t="s">
        <v>90</v>
      </c>
      <c r="C131" t="s">
        <v>6</v>
      </c>
      <c r="D131" s="3">
        <v>-45000</v>
      </c>
      <c r="E131" s="3">
        <f t="shared" si="5"/>
        <v>27843670.600000001</v>
      </c>
    </row>
    <row r="132" spans="1:5" x14ac:dyDescent="0.25">
      <c r="A132" s="2">
        <v>45383</v>
      </c>
      <c r="B132" t="s">
        <v>90</v>
      </c>
      <c r="C132" t="s">
        <v>16</v>
      </c>
      <c r="D132" s="3">
        <v>170000</v>
      </c>
      <c r="E132" s="3">
        <f t="shared" si="5"/>
        <v>28013670.600000001</v>
      </c>
    </row>
    <row r="133" spans="1:5" x14ac:dyDescent="0.25">
      <c r="A133" s="2">
        <v>45413</v>
      </c>
      <c r="B133" t="s">
        <v>90</v>
      </c>
      <c r="C133" t="s">
        <v>9</v>
      </c>
      <c r="D133" s="3">
        <f>-1940000*0.25</f>
        <v>-485000</v>
      </c>
      <c r="E133" s="3">
        <f t="shared" si="5"/>
        <v>27528670.600000001</v>
      </c>
    </row>
    <row r="134" spans="1:5" x14ac:dyDescent="0.25">
      <c r="A134" s="2">
        <v>45474</v>
      </c>
      <c r="B134" t="s">
        <v>90</v>
      </c>
      <c r="C134" t="s">
        <v>8</v>
      </c>
      <c r="D134" s="3">
        <v>-45000</v>
      </c>
      <c r="E134" s="3">
        <f t="shared" si="5"/>
        <v>27483670.600000001</v>
      </c>
    </row>
    <row r="135" spans="1:5" x14ac:dyDescent="0.25">
      <c r="A135" s="2">
        <v>45505</v>
      </c>
      <c r="B135" t="s">
        <v>90</v>
      </c>
      <c r="C135" t="s">
        <v>10</v>
      </c>
      <c r="D135" s="3">
        <f>-1940000*0.75</f>
        <v>-1455000</v>
      </c>
      <c r="E135" s="3">
        <f t="shared" si="5"/>
        <v>26028670.600000001</v>
      </c>
    </row>
    <row r="136" spans="1:5" x14ac:dyDescent="0.25">
      <c r="A136" s="2">
        <v>45657</v>
      </c>
      <c r="B136" t="s">
        <v>90</v>
      </c>
      <c r="C136" t="s">
        <v>39</v>
      </c>
      <c r="D136" s="3">
        <f>-200*6*10</f>
        <v>-12000</v>
      </c>
      <c r="E136" s="3">
        <f t="shared" si="5"/>
        <v>26016670.600000001</v>
      </c>
    </row>
    <row r="137" spans="1:5" x14ac:dyDescent="0.25">
      <c r="A137" s="2">
        <v>45292</v>
      </c>
      <c r="B137" t="s">
        <v>90</v>
      </c>
      <c r="C137" t="s">
        <v>17</v>
      </c>
      <c r="D137" s="3">
        <f>-2200000*0.0075</f>
        <v>-16500</v>
      </c>
      <c r="E137" s="3">
        <f t="shared" si="5"/>
        <v>26000170.600000001</v>
      </c>
    </row>
    <row r="138" spans="1:5" x14ac:dyDescent="0.25">
      <c r="A138" s="2">
        <v>45658</v>
      </c>
      <c r="B138" t="s">
        <v>90</v>
      </c>
      <c r="C138" t="s">
        <v>30</v>
      </c>
      <c r="D138" s="3">
        <f>0.5*215500</f>
        <v>107750</v>
      </c>
      <c r="E138" s="3">
        <f t="shared" si="5"/>
        <v>26107920.600000001</v>
      </c>
    </row>
    <row r="139" spans="1:5" x14ac:dyDescent="0.25">
      <c r="A139" s="2">
        <v>46022</v>
      </c>
      <c r="B139" t="s">
        <v>90</v>
      </c>
      <c r="C139" t="s">
        <v>41</v>
      </c>
      <c r="D139" s="3">
        <f>-200*6*10</f>
        <v>-12000</v>
      </c>
      <c r="E139" s="3">
        <f t="shared" si="5"/>
        <v>26095920.600000001</v>
      </c>
    </row>
    <row r="140" spans="1:5" x14ac:dyDescent="0.25">
      <c r="A140" s="2">
        <v>45658</v>
      </c>
      <c r="B140" t="s">
        <v>90</v>
      </c>
      <c r="C140" t="s">
        <v>25</v>
      </c>
      <c r="D140" s="3">
        <f>-2200000*0.0075</f>
        <v>-16500</v>
      </c>
      <c r="E140" s="3">
        <f t="shared" si="5"/>
        <v>26079420.600000001</v>
      </c>
    </row>
    <row r="141" spans="1:5" x14ac:dyDescent="0.25">
      <c r="A141" s="2">
        <v>45839</v>
      </c>
      <c r="B141" t="s">
        <v>90</v>
      </c>
      <c r="C141" t="s">
        <v>32</v>
      </c>
      <c r="D141" s="3">
        <f>0.5*215500</f>
        <v>107750</v>
      </c>
      <c r="E141" s="3">
        <f t="shared" si="5"/>
        <v>26187170.600000001</v>
      </c>
    </row>
    <row r="142" spans="1:5" x14ac:dyDescent="0.25">
      <c r="A142" s="2">
        <v>46023</v>
      </c>
      <c r="B142" t="s">
        <v>90</v>
      </c>
      <c r="C142" t="s">
        <v>33</v>
      </c>
      <c r="D142" s="3">
        <f>0.5*215500</f>
        <v>107750</v>
      </c>
      <c r="E142" s="3">
        <f t="shared" si="5"/>
        <v>26294920.600000001</v>
      </c>
    </row>
    <row r="143" spans="1:5" x14ac:dyDescent="0.25">
      <c r="A143" s="2">
        <v>46387</v>
      </c>
      <c r="B143" t="s">
        <v>90</v>
      </c>
      <c r="C143" t="s">
        <v>42</v>
      </c>
      <c r="D143" s="3">
        <f>-200*6*10</f>
        <v>-12000</v>
      </c>
      <c r="E143" s="3">
        <f t="shared" si="5"/>
        <v>26282920.600000001</v>
      </c>
    </row>
    <row r="144" spans="1:5" x14ac:dyDescent="0.25">
      <c r="A144" s="2">
        <v>46023</v>
      </c>
      <c r="B144" t="s">
        <v>90</v>
      </c>
      <c r="C144" t="s">
        <v>26</v>
      </c>
      <c r="D144" s="3">
        <f>-2200000*0.0075</f>
        <v>-16500</v>
      </c>
      <c r="E144" s="3">
        <f t="shared" si="5"/>
        <v>26266420.600000001</v>
      </c>
    </row>
    <row r="145" spans="1:5" x14ac:dyDescent="0.25">
      <c r="A145" s="2">
        <v>46204</v>
      </c>
      <c r="B145" t="s">
        <v>90</v>
      </c>
      <c r="C145" t="s">
        <v>34</v>
      </c>
      <c r="D145" s="3">
        <f>0.5*215500</f>
        <v>107750</v>
      </c>
      <c r="E145" s="3">
        <f t="shared" si="5"/>
        <v>26374170.600000001</v>
      </c>
    </row>
    <row r="146" spans="1:5" x14ac:dyDescent="0.25">
      <c r="A146" s="2">
        <v>46388</v>
      </c>
      <c r="B146" t="s">
        <v>90</v>
      </c>
      <c r="C146" t="s">
        <v>35</v>
      </c>
      <c r="D146" s="3">
        <f>0.5*215500</f>
        <v>107750</v>
      </c>
      <c r="E146" s="3">
        <f t="shared" si="5"/>
        <v>26481920.600000001</v>
      </c>
    </row>
    <row r="147" spans="1:5" x14ac:dyDescent="0.25">
      <c r="A147" s="2">
        <v>46752</v>
      </c>
      <c r="B147" t="s">
        <v>90</v>
      </c>
      <c r="C147" t="s">
        <v>43</v>
      </c>
      <c r="D147" s="3">
        <f>-200*6*10</f>
        <v>-12000</v>
      </c>
      <c r="E147" s="3">
        <f t="shared" si="5"/>
        <v>26469920.600000001</v>
      </c>
    </row>
    <row r="148" spans="1:5" x14ac:dyDescent="0.25">
      <c r="A148" s="2">
        <v>46388</v>
      </c>
      <c r="B148" t="s">
        <v>90</v>
      </c>
      <c r="C148" t="s">
        <v>27</v>
      </c>
      <c r="D148" s="3">
        <f>-2200000*0.0075</f>
        <v>-16500</v>
      </c>
      <c r="E148" s="3">
        <f t="shared" si="5"/>
        <v>26453420.600000001</v>
      </c>
    </row>
    <row r="149" spans="1:5" x14ac:dyDescent="0.25">
      <c r="A149" s="2">
        <v>46569</v>
      </c>
      <c r="B149" t="s">
        <v>90</v>
      </c>
      <c r="C149" t="s">
        <v>36</v>
      </c>
      <c r="D149" s="3">
        <f>0.5*215500</f>
        <v>107750</v>
      </c>
      <c r="E149" s="3">
        <f t="shared" si="5"/>
        <v>26561170.600000001</v>
      </c>
    </row>
    <row r="150" spans="1:5" x14ac:dyDescent="0.25">
      <c r="A150" s="2">
        <v>46753</v>
      </c>
      <c r="B150" t="s">
        <v>90</v>
      </c>
      <c r="C150" t="s">
        <v>37</v>
      </c>
      <c r="D150" s="3">
        <f>0.5*215500</f>
        <v>107750</v>
      </c>
      <c r="E150" s="3">
        <f t="shared" si="5"/>
        <v>26668920.600000001</v>
      </c>
    </row>
    <row r="151" spans="1:5" x14ac:dyDescent="0.25">
      <c r="A151" s="2">
        <v>46753</v>
      </c>
      <c r="B151" t="s">
        <v>90</v>
      </c>
      <c r="C151" t="s">
        <v>38</v>
      </c>
      <c r="D151" s="3">
        <f>-200*6*10</f>
        <v>-12000</v>
      </c>
      <c r="E151" s="3">
        <f t="shared" si="5"/>
        <v>26656920.600000001</v>
      </c>
    </row>
    <row r="152" spans="1:5" x14ac:dyDescent="0.25">
      <c r="A152" s="2">
        <v>45383</v>
      </c>
      <c r="B152" t="s">
        <v>91</v>
      </c>
      <c r="C152" t="s">
        <v>6</v>
      </c>
      <c r="D152" s="3">
        <v>-40000</v>
      </c>
      <c r="E152" s="3">
        <f t="shared" si="5"/>
        <v>26616920.600000001</v>
      </c>
    </row>
    <row r="153" spans="1:5" x14ac:dyDescent="0.25">
      <c r="A153" s="2">
        <v>45413</v>
      </c>
      <c r="B153" t="s">
        <v>91</v>
      </c>
      <c r="C153" t="s">
        <v>16</v>
      </c>
      <c r="D153" s="3">
        <v>-125000</v>
      </c>
      <c r="E153" s="3">
        <f t="shared" si="5"/>
        <v>26491920.600000001</v>
      </c>
    </row>
    <row r="154" spans="1:5" x14ac:dyDescent="0.25">
      <c r="A154" s="2">
        <v>45444</v>
      </c>
      <c r="B154" t="s">
        <v>91</v>
      </c>
      <c r="C154" t="s">
        <v>9</v>
      </c>
      <c r="D154" s="3">
        <f>-1450000*0.25</f>
        <v>-362500</v>
      </c>
      <c r="E154" s="3">
        <f t="shared" si="5"/>
        <v>26129420.600000001</v>
      </c>
    </row>
    <row r="155" spans="1:5" x14ac:dyDescent="0.25">
      <c r="A155" s="2">
        <v>45505</v>
      </c>
      <c r="B155" t="s">
        <v>91</v>
      </c>
      <c r="C155" t="s">
        <v>8</v>
      </c>
      <c r="D155" s="3">
        <v>-35000</v>
      </c>
      <c r="E155" s="3">
        <f t="shared" si="5"/>
        <v>26094420.600000001</v>
      </c>
    </row>
    <row r="156" spans="1:5" x14ac:dyDescent="0.25">
      <c r="A156" s="2">
        <v>45536</v>
      </c>
      <c r="B156" t="s">
        <v>91</v>
      </c>
      <c r="C156" t="s">
        <v>10</v>
      </c>
      <c r="D156" s="3">
        <f>-1450000*0.75</f>
        <v>-1087500</v>
      </c>
      <c r="E156" s="3">
        <f t="shared" si="5"/>
        <v>25006920.600000001</v>
      </c>
    </row>
    <row r="157" spans="1:5" x14ac:dyDescent="0.25">
      <c r="A157" s="2">
        <v>45657</v>
      </c>
      <c r="B157" t="s">
        <v>91</v>
      </c>
      <c r="C157" t="s">
        <v>39</v>
      </c>
      <c r="D157" s="3">
        <f>-150*6*10</f>
        <v>-9000</v>
      </c>
      <c r="E157" s="3">
        <f t="shared" si="5"/>
        <v>24997920.600000001</v>
      </c>
    </row>
    <row r="158" spans="1:5" x14ac:dyDescent="0.25">
      <c r="A158" s="2">
        <v>45292</v>
      </c>
      <c r="B158" t="s">
        <v>91</v>
      </c>
      <c r="C158" t="s">
        <v>17</v>
      </c>
      <c r="D158" s="3">
        <f>-1650000*0.0075</f>
        <v>-12375</v>
      </c>
      <c r="E158" s="3">
        <f t="shared" si="5"/>
        <v>24985545.600000001</v>
      </c>
    </row>
    <row r="159" spans="1:5" x14ac:dyDescent="0.25">
      <c r="A159" s="2">
        <v>45658</v>
      </c>
      <c r="B159" t="s">
        <v>91</v>
      </c>
      <c r="C159" t="s">
        <v>30</v>
      </c>
      <c r="D159" s="3">
        <f>0.5*168700</f>
        <v>84350</v>
      </c>
      <c r="E159" s="3">
        <f t="shared" si="5"/>
        <v>25069895.600000001</v>
      </c>
    </row>
    <row r="160" spans="1:5" x14ac:dyDescent="0.25">
      <c r="A160" s="2">
        <v>46022</v>
      </c>
      <c r="B160" t="s">
        <v>91</v>
      </c>
      <c r="C160" t="s">
        <v>41</v>
      </c>
      <c r="D160" s="3">
        <f>-150*6*10</f>
        <v>-9000</v>
      </c>
      <c r="E160" s="3">
        <f t="shared" si="5"/>
        <v>25060895.600000001</v>
      </c>
    </row>
    <row r="161" spans="1:5" x14ac:dyDescent="0.25">
      <c r="A161" s="2">
        <v>45658</v>
      </c>
      <c r="B161" t="s">
        <v>91</v>
      </c>
      <c r="C161" t="s">
        <v>25</v>
      </c>
      <c r="D161" s="3">
        <f>-1650000*0.0075</f>
        <v>-12375</v>
      </c>
      <c r="E161" s="3">
        <f t="shared" si="5"/>
        <v>25048520.600000001</v>
      </c>
    </row>
    <row r="162" spans="1:5" x14ac:dyDescent="0.25">
      <c r="A162" s="2">
        <v>45839</v>
      </c>
      <c r="B162" t="s">
        <v>91</v>
      </c>
      <c r="C162" t="s">
        <v>32</v>
      </c>
      <c r="D162" s="3">
        <f>0.5*168700</f>
        <v>84350</v>
      </c>
      <c r="E162" s="3">
        <f t="shared" si="5"/>
        <v>25132870.600000001</v>
      </c>
    </row>
    <row r="163" spans="1:5" x14ac:dyDescent="0.25">
      <c r="A163" s="2">
        <v>46023</v>
      </c>
      <c r="B163" t="s">
        <v>91</v>
      </c>
      <c r="C163" t="s">
        <v>33</v>
      </c>
      <c r="D163" s="3">
        <f>0.5*168700</f>
        <v>84350</v>
      </c>
      <c r="E163" s="3">
        <f t="shared" si="5"/>
        <v>25217220.600000001</v>
      </c>
    </row>
    <row r="164" spans="1:5" x14ac:dyDescent="0.25">
      <c r="A164" s="2">
        <v>46387</v>
      </c>
      <c r="B164" t="s">
        <v>91</v>
      </c>
      <c r="C164" t="s">
        <v>42</v>
      </c>
      <c r="D164" s="3">
        <f>-150*6*10</f>
        <v>-9000</v>
      </c>
      <c r="E164" s="3">
        <f t="shared" si="5"/>
        <v>25208220.600000001</v>
      </c>
    </row>
    <row r="165" spans="1:5" x14ac:dyDescent="0.25">
      <c r="A165" s="2">
        <v>46023</v>
      </c>
      <c r="B165" t="s">
        <v>91</v>
      </c>
      <c r="C165" t="s">
        <v>26</v>
      </c>
      <c r="D165" s="3">
        <f>-1650000*0.0075</f>
        <v>-12375</v>
      </c>
      <c r="E165" s="3">
        <f t="shared" si="5"/>
        <v>25195845.600000001</v>
      </c>
    </row>
    <row r="166" spans="1:5" x14ac:dyDescent="0.25">
      <c r="A166" s="2">
        <v>46204</v>
      </c>
      <c r="B166" t="s">
        <v>91</v>
      </c>
      <c r="C166" t="s">
        <v>34</v>
      </c>
      <c r="D166" s="3">
        <f>0.5*168700</f>
        <v>84350</v>
      </c>
      <c r="E166" s="3">
        <f t="shared" si="5"/>
        <v>25280195.600000001</v>
      </c>
    </row>
    <row r="167" spans="1:5" x14ac:dyDescent="0.25">
      <c r="A167" s="2">
        <v>46388</v>
      </c>
      <c r="B167" t="s">
        <v>91</v>
      </c>
      <c r="C167" t="s">
        <v>35</v>
      </c>
      <c r="D167" s="3">
        <f>0.5*168700</f>
        <v>84350</v>
      </c>
      <c r="E167" s="3">
        <f t="shared" si="5"/>
        <v>25364545.600000001</v>
      </c>
    </row>
    <row r="168" spans="1:5" x14ac:dyDescent="0.25">
      <c r="A168" s="2">
        <v>46752</v>
      </c>
      <c r="B168" t="s">
        <v>91</v>
      </c>
      <c r="C168" t="s">
        <v>43</v>
      </c>
      <c r="D168" s="3">
        <f>-150*6*10</f>
        <v>-9000</v>
      </c>
      <c r="E168" s="3">
        <f t="shared" si="5"/>
        <v>25355545.600000001</v>
      </c>
    </row>
    <row r="169" spans="1:5" x14ac:dyDescent="0.25">
      <c r="A169" s="2">
        <v>46388</v>
      </c>
      <c r="B169" t="s">
        <v>91</v>
      </c>
      <c r="C169" t="s">
        <v>27</v>
      </c>
      <c r="D169" s="3">
        <f>-1650000*0.0075</f>
        <v>-12375</v>
      </c>
      <c r="E169" s="3">
        <f t="shared" si="5"/>
        <v>25343170.600000001</v>
      </c>
    </row>
    <row r="170" spans="1:5" x14ac:dyDescent="0.25">
      <c r="A170" s="2">
        <v>46569</v>
      </c>
      <c r="B170" t="s">
        <v>91</v>
      </c>
      <c r="C170" t="s">
        <v>36</v>
      </c>
      <c r="D170" s="3">
        <f>0.5*168700</f>
        <v>84350</v>
      </c>
      <c r="E170" s="3">
        <f t="shared" si="5"/>
        <v>25427520.600000001</v>
      </c>
    </row>
    <row r="171" spans="1:5" x14ac:dyDescent="0.25">
      <c r="A171" s="2">
        <v>46753</v>
      </c>
      <c r="B171" t="s">
        <v>91</v>
      </c>
      <c r="C171" t="s">
        <v>37</v>
      </c>
      <c r="D171" s="3">
        <f>0.5*168700</f>
        <v>84350</v>
      </c>
      <c r="E171" s="3">
        <f t="shared" si="5"/>
        <v>25511870.600000001</v>
      </c>
    </row>
    <row r="172" spans="1:5" x14ac:dyDescent="0.25">
      <c r="A172" s="2">
        <v>46753</v>
      </c>
      <c r="B172" t="s">
        <v>91</v>
      </c>
      <c r="C172" t="s">
        <v>38</v>
      </c>
      <c r="D172" s="3">
        <f>-150*6*10</f>
        <v>-9000</v>
      </c>
      <c r="E172" s="3">
        <f t="shared" si="5"/>
        <v>25502870.600000001</v>
      </c>
    </row>
    <row r="173" spans="1:5" x14ac:dyDescent="0.25">
      <c r="A173" s="2">
        <v>45444</v>
      </c>
      <c r="B173" t="s">
        <v>96</v>
      </c>
      <c r="C173" t="s">
        <v>6</v>
      </c>
      <c r="D173" s="3">
        <v>-25000</v>
      </c>
      <c r="E173" s="3">
        <f t="shared" si="5"/>
        <v>25477870.600000001</v>
      </c>
    </row>
    <row r="174" spans="1:5" x14ac:dyDescent="0.25">
      <c r="A174" s="2">
        <v>45474</v>
      </c>
      <c r="B174" t="s">
        <v>96</v>
      </c>
      <c r="C174" t="s">
        <v>16</v>
      </c>
      <c r="D174" s="3">
        <v>-95000</v>
      </c>
      <c r="E174" s="3">
        <f t="shared" ref="E174:E237" si="6">E173+D174</f>
        <v>25382870.600000001</v>
      </c>
    </row>
    <row r="175" spans="1:5" x14ac:dyDescent="0.25">
      <c r="A175" s="2">
        <v>45505</v>
      </c>
      <c r="B175" t="s">
        <v>96</v>
      </c>
      <c r="C175" t="s">
        <v>9</v>
      </c>
      <c r="D175" s="3">
        <f>-1035000*0.25</f>
        <v>-258750</v>
      </c>
      <c r="E175" s="3">
        <f t="shared" si="6"/>
        <v>25124120.600000001</v>
      </c>
    </row>
    <row r="176" spans="1:5" x14ac:dyDescent="0.25">
      <c r="A176" s="2">
        <v>45566</v>
      </c>
      <c r="B176" t="s">
        <v>96</v>
      </c>
      <c r="C176" t="s">
        <v>8</v>
      </c>
      <c r="D176" s="3">
        <v>-25000</v>
      </c>
      <c r="E176" s="3">
        <f t="shared" si="6"/>
        <v>25099120.600000001</v>
      </c>
    </row>
    <row r="177" spans="1:5" x14ac:dyDescent="0.25">
      <c r="A177" s="2">
        <v>45597</v>
      </c>
      <c r="B177" t="s">
        <v>96</v>
      </c>
      <c r="C177" t="s">
        <v>10</v>
      </c>
      <c r="D177" s="3">
        <f>-1035000*0.75</f>
        <v>-776250</v>
      </c>
      <c r="E177" s="3">
        <f t="shared" si="6"/>
        <v>24322870.600000001</v>
      </c>
    </row>
    <row r="178" spans="1:5" x14ac:dyDescent="0.25">
      <c r="A178" s="2">
        <v>45657</v>
      </c>
      <c r="B178" t="s">
        <v>96</v>
      </c>
      <c r="C178" t="s">
        <v>39</v>
      </c>
      <c r="D178" s="3">
        <f>-115*6*10</f>
        <v>-6900</v>
      </c>
      <c r="E178" s="3">
        <f t="shared" si="6"/>
        <v>24315970.600000001</v>
      </c>
    </row>
    <row r="179" spans="1:5" x14ac:dyDescent="0.25">
      <c r="A179" s="2">
        <v>45292</v>
      </c>
      <c r="B179" t="s">
        <v>96</v>
      </c>
      <c r="C179" t="s">
        <v>17</v>
      </c>
      <c r="D179" s="3">
        <f>-1180000*0.0075</f>
        <v>-8850</v>
      </c>
      <c r="E179" s="3">
        <f t="shared" si="6"/>
        <v>24307120.600000001</v>
      </c>
    </row>
    <row r="180" spans="1:5" x14ac:dyDescent="0.25">
      <c r="A180" s="2">
        <v>45658</v>
      </c>
      <c r="B180" t="s">
        <v>96</v>
      </c>
      <c r="C180" t="s">
        <v>30</v>
      </c>
      <c r="D180" s="3">
        <f>0.3*105700</f>
        <v>31710</v>
      </c>
      <c r="E180" s="3">
        <f t="shared" si="6"/>
        <v>24338830.600000001</v>
      </c>
    </row>
    <row r="181" spans="1:5" x14ac:dyDescent="0.25">
      <c r="A181" s="2">
        <v>46022</v>
      </c>
      <c r="B181" t="s">
        <v>96</v>
      </c>
      <c r="C181" t="s">
        <v>41</v>
      </c>
      <c r="D181" s="3">
        <f>-115*6*10</f>
        <v>-6900</v>
      </c>
      <c r="E181" s="3">
        <f t="shared" si="6"/>
        <v>24331930.600000001</v>
      </c>
    </row>
    <row r="182" spans="1:5" x14ac:dyDescent="0.25">
      <c r="A182" s="2">
        <v>45658</v>
      </c>
      <c r="B182" t="s">
        <v>96</v>
      </c>
      <c r="C182" t="s">
        <v>25</v>
      </c>
      <c r="D182" s="3">
        <f>-1180000*0.0075</f>
        <v>-8850</v>
      </c>
      <c r="E182" s="3">
        <f t="shared" si="6"/>
        <v>24323080.600000001</v>
      </c>
    </row>
    <row r="183" spans="1:5" x14ac:dyDescent="0.25">
      <c r="A183" s="2">
        <v>45839</v>
      </c>
      <c r="B183" t="s">
        <v>96</v>
      </c>
      <c r="C183" t="s">
        <v>32</v>
      </c>
      <c r="D183" s="3">
        <f>0.5*105700</f>
        <v>52850</v>
      </c>
      <c r="E183" s="3">
        <f t="shared" si="6"/>
        <v>24375930.600000001</v>
      </c>
    </row>
    <row r="184" spans="1:5" x14ac:dyDescent="0.25">
      <c r="A184" s="2">
        <v>46023</v>
      </c>
      <c r="B184" t="s">
        <v>96</v>
      </c>
      <c r="C184" t="s">
        <v>33</v>
      </c>
      <c r="D184" s="3">
        <f>0.5*105700</f>
        <v>52850</v>
      </c>
      <c r="E184" s="3">
        <f t="shared" si="6"/>
        <v>24428780.600000001</v>
      </c>
    </row>
    <row r="185" spans="1:5" x14ac:dyDescent="0.25">
      <c r="A185" s="2">
        <v>46387</v>
      </c>
      <c r="B185" t="s">
        <v>96</v>
      </c>
      <c r="C185" t="s">
        <v>42</v>
      </c>
      <c r="D185" s="3">
        <f>-115*6*10</f>
        <v>-6900</v>
      </c>
      <c r="E185" s="3">
        <f t="shared" si="6"/>
        <v>24421880.600000001</v>
      </c>
    </row>
    <row r="186" spans="1:5" x14ac:dyDescent="0.25">
      <c r="A186" s="2">
        <v>46023</v>
      </c>
      <c r="B186" t="s">
        <v>96</v>
      </c>
      <c r="C186" t="s">
        <v>26</v>
      </c>
      <c r="D186" s="3">
        <f>-1180000*0.0075</f>
        <v>-8850</v>
      </c>
      <c r="E186" s="3">
        <f t="shared" si="6"/>
        <v>24413030.600000001</v>
      </c>
    </row>
    <row r="187" spans="1:5" x14ac:dyDescent="0.25">
      <c r="A187" s="2">
        <v>46204</v>
      </c>
      <c r="B187" t="s">
        <v>96</v>
      </c>
      <c r="C187" t="s">
        <v>34</v>
      </c>
      <c r="D187" s="3">
        <f>0.5*105700</f>
        <v>52850</v>
      </c>
      <c r="E187" s="3">
        <f t="shared" si="6"/>
        <v>24465880.600000001</v>
      </c>
    </row>
    <row r="188" spans="1:5" x14ac:dyDescent="0.25">
      <c r="A188" s="2">
        <v>46388</v>
      </c>
      <c r="B188" t="s">
        <v>96</v>
      </c>
      <c r="C188" t="s">
        <v>35</v>
      </c>
      <c r="D188" s="3">
        <f>0.5*105700</f>
        <v>52850</v>
      </c>
      <c r="E188" s="3">
        <f t="shared" si="6"/>
        <v>24518730.600000001</v>
      </c>
    </row>
    <row r="189" spans="1:5" x14ac:dyDescent="0.25">
      <c r="A189" s="2">
        <v>46752</v>
      </c>
      <c r="B189" t="s">
        <v>96</v>
      </c>
      <c r="C189" t="s">
        <v>43</v>
      </c>
      <c r="D189" s="3">
        <f>-115*6*10</f>
        <v>-6900</v>
      </c>
      <c r="E189" s="3">
        <f t="shared" si="6"/>
        <v>24511830.600000001</v>
      </c>
    </row>
    <row r="190" spans="1:5" x14ac:dyDescent="0.25">
      <c r="A190" s="2">
        <v>46388</v>
      </c>
      <c r="B190" t="s">
        <v>96</v>
      </c>
      <c r="C190" t="s">
        <v>27</v>
      </c>
      <c r="D190" s="3">
        <f>-1180000*0.0075</f>
        <v>-8850</v>
      </c>
      <c r="E190" s="3">
        <f t="shared" si="6"/>
        <v>24502980.600000001</v>
      </c>
    </row>
    <row r="191" spans="1:5" x14ac:dyDescent="0.25">
      <c r="A191" s="2">
        <v>46569</v>
      </c>
      <c r="B191" t="s">
        <v>96</v>
      </c>
      <c r="C191" t="s">
        <v>36</v>
      </c>
      <c r="D191" s="3">
        <f>0.5*105700</f>
        <v>52850</v>
      </c>
      <c r="E191" s="3">
        <f t="shared" si="6"/>
        <v>24555830.600000001</v>
      </c>
    </row>
    <row r="192" spans="1:5" x14ac:dyDescent="0.25">
      <c r="A192" s="2">
        <v>46753</v>
      </c>
      <c r="B192" t="s">
        <v>96</v>
      </c>
      <c r="C192" t="s">
        <v>37</v>
      </c>
      <c r="D192" s="3">
        <f>0.5*105700</f>
        <v>52850</v>
      </c>
      <c r="E192" s="3">
        <f t="shared" si="6"/>
        <v>24608680.600000001</v>
      </c>
    </row>
    <row r="193" spans="1:5" x14ac:dyDescent="0.25">
      <c r="A193" s="2">
        <v>46753</v>
      </c>
      <c r="B193" t="s">
        <v>96</v>
      </c>
      <c r="C193" t="s">
        <v>38</v>
      </c>
      <c r="D193" s="3">
        <f>-115*6*10</f>
        <v>-6900</v>
      </c>
      <c r="E193" s="3">
        <f t="shared" si="6"/>
        <v>24601780.600000001</v>
      </c>
    </row>
    <row r="194" spans="1:5" x14ac:dyDescent="0.25">
      <c r="A194" s="2">
        <v>45505</v>
      </c>
      <c r="B194" t="s">
        <v>59</v>
      </c>
      <c r="C194" t="s">
        <v>6</v>
      </c>
      <c r="D194" s="3">
        <v>-50000</v>
      </c>
      <c r="E194" s="3">
        <f t="shared" si="6"/>
        <v>24551780.600000001</v>
      </c>
    </row>
    <row r="195" spans="1:5" x14ac:dyDescent="0.25">
      <c r="A195" s="2">
        <v>45536</v>
      </c>
      <c r="B195" t="s">
        <v>59</v>
      </c>
      <c r="C195" t="s">
        <v>16</v>
      </c>
      <c r="D195" s="3">
        <v>155000</v>
      </c>
      <c r="E195" s="3">
        <f t="shared" si="6"/>
        <v>24706780.600000001</v>
      </c>
    </row>
    <row r="196" spans="1:5" x14ac:dyDescent="0.25">
      <c r="A196" s="2">
        <v>45566</v>
      </c>
      <c r="B196" t="s">
        <v>59</v>
      </c>
      <c r="C196" t="s">
        <v>9</v>
      </c>
      <c r="D196" s="3">
        <f>-2000000*0.25</f>
        <v>-500000</v>
      </c>
      <c r="E196" s="3">
        <f t="shared" si="6"/>
        <v>24206780.600000001</v>
      </c>
    </row>
    <row r="197" spans="1:5" x14ac:dyDescent="0.25">
      <c r="A197" s="2">
        <v>45627</v>
      </c>
      <c r="B197" t="s">
        <v>59</v>
      </c>
      <c r="C197" t="s">
        <v>8</v>
      </c>
      <c r="D197" s="3">
        <v>-60000</v>
      </c>
      <c r="E197" s="3">
        <f t="shared" si="6"/>
        <v>24146780.600000001</v>
      </c>
    </row>
    <row r="198" spans="1:5" x14ac:dyDescent="0.25">
      <c r="A198" s="2">
        <v>45658</v>
      </c>
      <c r="B198" t="s">
        <v>59</v>
      </c>
      <c r="C198" t="s">
        <v>10</v>
      </c>
      <c r="D198" s="3">
        <f>-2000000*0.75</f>
        <v>-1500000</v>
      </c>
      <c r="E198" s="3">
        <f t="shared" si="6"/>
        <v>22646780.600000001</v>
      </c>
    </row>
    <row r="199" spans="1:5" x14ac:dyDescent="0.25">
      <c r="A199" s="2">
        <v>46022</v>
      </c>
      <c r="B199" t="s">
        <v>59</v>
      </c>
      <c r="C199" t="s">
        <v>41</v>
      </c>
      <c r="D199" s="3">
        <f>-200*6*10</f>
        <v>-12000</v>
      </c>
      <c r="E199" s="3">
        <f t="shared" si="6"/>
        <v>22634780.600000001</v>
      </c>
    </row>
    <row r="200" spans="1:5" x14ac:dyDescent="0.25">
      <c r="A200" s="2">
        <v>45658</v>
      </c>
      <c r="B200" t="s">
        <v>59</v>
      </c>
      <c r="C200" t="s">
        <v>25</v>
      </c>
      <c r="D200" s="3">
        <f>-2200000*0.0075</f>
        <v>-16500</v>
      </c>
      <c r="E200" s="3">
        <f t="shared" si="6"/>
        <v>22618280.600000001</v>
      </c>
    </row>
    <row r="201" spans="1:5" x14ac:dyDescent="0.25">
      <c r="A201" s="2">
        <v>45839</v>
      </c>
      <c r="B201" t="s">
        <v>59</v>
      </c>
      <c r="C201" t="s">
        <v>32</v>
      </c>
      <c r="D201" s="3">
        <f>0.5*200*850*2.14</f>
        <v>181900</v>
      </c>
      <c r="E201" s="3">
        <f t="shared" si="6"/>
        <v>22800180.600000001</v>
      </c>
    </row>
    <row r="202" spans="1:5" x14ac:dyDescent="0.25">
      <c r="A202" s="2">
        <v>46023</v>
      </c>
      <c r="B202" t="s">
        <v>59</v>
      </c>
      <c r="C202" t="s">
        <v>33</v>
      </c>
      <c r="D202" s="3">
        <f>0.5*200*850*2.14</f>
        <v>181900</v>
      </c>
      <c r="E202" s="3">
        <f t="shared" si="6"/>
        <v>22982080.600000001</v>
      </c>
    </row>
    <row r="203" spans="1:5" x14ac:dyDescent="0.25">
      <c r="A203" s="2">
        <v>46387</v>
      </c>
      <c r="B203" t="s">
        <v>59</v>
      </c>
      <c r="C203" t="s">
        <v>42</v>
      </c>
      <c r="D203" s="3">
        <f>-200*6*10</f>
        <v>-12000</v>
      </c>
      <c r="E203" s="3">
        <f t="shared" si="6"/>
        <v>22970080.600000001</v>
      </c>
    </row>
    <row r="204" spans="1:5" x14ac:dyDescent="0.25">
      <c r="A204" s="2">
        <v>46023</v>
      </c>
      <c r="B204" t="s">
        <v>59</v>
      </c>
      <c r="C204" t="s">
        <v>26</v>
      </c>
      <c r="D204" s="3">
        <f>-2200000*0.0075</f>
        <v>-16500</v>
      </c>
      <c r="E204" s="3">
        <f t="shared" si="6"/>
        <v>22953580.600000001</v>
      </c>
    </row>
    <row r="205" spans="1:5" x14ac:dyDescent="0.25">
      <c r="A205" s="2">
        <v>46204</v>
      </c>
      <c r="B205" t="s">
        <v>59</v>
      </c>
      <c r="C205" t="s">
        <v>34</v>
      </c>
      <c r="D205" s="3">
        <f>0.5*200*850*2.14</f>
        <v>181900</v>
      </c>
      <c r="E205" s="3">
        <f t="shared" si="6"/>
        <v>23135480.600000001</v>
      </c>
    </row>
    <row r="206" spans="1:5" x14ac:dyDescent="0.25">
      <c r="A206" s="2">
        <v>46388</v>
      </c>
      <c r="B206" t="s">
        <v>59</v>
      </c>
      <c r="C206" t="s">
        <v>35</v>
      </c>
      <c r="D206" s="3">
        <f>0.5*200*850*2.14</f>
        <v>181900</v>
      </c>
      <c r="E206" s="3">
        <f t="shared" si="6"/>
        <v>23317380.600000001</v>
      </c>
    </row>
    <row r="207" spans="1:5" x14ac:dyDescent="0.25">
      <c r="A207" s="2">
        <v>46752</v>
      </c>
      <c r="B207" t="s">
        <v>59</v>
      </c>
      <c r="C207" t="s">
        <v>43</v>
      </c>
      <c r="D207" s="3">
        <f>-200*6*10</f>
        <v>-12000</v>
      </c>
      <c r="E207" s="3">
        <f t="shared" si="6"/>
        <v>23305380.600000001</v>
      </c>
    </row>
    <row r="208" spans="1:5" x14ac:dyDescent="0.25">
      <c r="A208" s="2">
        <v>46388</v>
      </c>
      <c r="B208" t="s">
        <v>59</v>
      </c>
      <c r="C208" t="s">
        <v>27</v>
      </c>
      <c r="D208" s="3">
        <f>-2200000*0.0075</f>
        <v>-16500</v>
      </c>
      <c r="E208" s="3">
        <f t="shared" si="6"/>
        <v>23288880.600000001</v>
      </c>
    </row>
    <row r="209" spans="1:5" x14ac:dyDescent="0.25">
      <c r="A209" s="2">
        <v>46569</v>
      </c>
      <c r="B209" t="s">
        <v>59</v>
      </c>
      <c r="C209" t="s">
        <v>36</v>
      </c>
      <c r="D209" s="3">
        <f>0.5*200*850*2.14</f>
        <v>181900</v>
      </c>
      <c r="E209" s="3">
        <f t="shared" si="6"/>
        <v>23470780.600000001</v>
      </c>
    </row>
    <row r="210" spans="1:5" x14ac:dyDescent="0.25">
      <c r="A210" s="2">
        <v>46753</v>
      </c>
      <c r="B210" t="s">
        <v>59</v>
      </c>
      <c r="C210" t="s">
        <v>37</v>
      </c>
      <c r="D210" s="3">
        <f>0.5*200*850*2.14</f>
        <v>181900</v>
      </c>
      <c r="E210" s="3">
        <f t="shared" si="6"/>
        <v>23652680.600000001</v>
      </c>
    </row>
    <row r="211" spans="1:5" x14ac:dyDescent="0.25">
      <c r="A211" s="2">
        <v>46753</v>
      </c>
      <c r="B211" t="s">
        <v>59</v>
      </c>
      <c r="C211" t="s">
        <v>38</v>
      </c>
      <c r="D211" s="3">
        <f>-2200000*0.0075</f>
        <v>-16500</v>
      </c>
      <c r="E211" s="3">
        <f t="shared" si="6"/>
        <v>23636180.600000001</v>
      </c>
    </row>
    <row r="212" spans="1:5" x14ac:dyDescent="0.25">
      <c r="A212" s="2">
        <v>45689</v>
      </c>
      <c r="B212" t="s">
        <v>93</v>
      </c>
      <c r="C212" t="s">
        <v>6</v>
      </c>
      <c r="D212" s="3">
        <v>-35000</v>
      </c>
      <c r="E212" s="3">
        <f t="shared" si="6"/>
        <v>23601180.600000001</v>
      </c>
    </row>
    <row r="213" spans="1:5" x14ac:dyDescent="0.25">
      <c r="A213" s="2">
        <v>45717</v>
      </c>
      <c r="B213" t="s">
        <v>93</v>
      </c>
      <c r="C213" t="s">
        <v>16</v>
      </c>
      <c r="D213" s="3">
        <v>-145000</v>
      </c>
      <c r="E213" s="3">
        <f t="shared" si="6"/>
        <v>23456180.600000001</v>
      </c>
    </row>
    <row r="214" spans="1:5" x14ac:dyDescent="0.25">
      <c r="A214" s="2">
        <v>45748</v>
      </c>
      <c r="B214" t="s">
        <v>93</v>
      </c>
      <c r="C214" t="s">
        <v>9</v>
      </c>
      <c r="D214" s="3">
        <f>-1430000*0.25</f>
        <v>-357500</v>
      </c>
      <c r="E214" s="3">
        <f t="shared" si="6"/>
        <v>23098680.600000001</v>
      </c>
    </row>
    <row r="215" spans="1:5" x14ac:dyDescent="0.25">
      <c r="A215" s="2">
        <v>45809</v>
      </c>
      <c r="B215" t="s">
        <v>93</v>
      </c>
      <c r="C215" t="s">
        <v>8</v>
      </c>
      <c r="D215" s="3">
        <v>-40000</v>
      </c>
      <c r="E215" s="3">
        <f t="shared" si="6"/>
        <v>23058680.600000001</v>
      </c>
    </row>
    <row r="216" spans="1:5" x14ac:dyDescent="0.25">
      <c r="A216" s="2">
        <v>45839</v>
      </c>
      <c r="B216" t="s">
        <v>93</v>
      </c>
      <c r="C216" t="s">
        <v>10</v>
      </c>
      <c r="D216" s="3">
        <f>-1430000*0.75</f>
        <v>-1072500</v>
      </c>
      <c r="E216" s="3">
        <f t="shared" si="6"/>
        <v>21986180.600000001</v>
      </c>
    </row>
    <row r="217" spans="1:5" x14ac:dyDescent="0.25">
      <c r="A217" s="2">
        <v>46022</v>
      </c>
      <c r="B217" t="s">
        <v>93</v>
      </c>
      <c r="C217" t="s">
        <v>41</v>
      </c>
      <c r="D217" s="3">
        <f>-150*6*10</f>
        <v>-9000</v>
      </c>
      <c r="E217" s="3">
        <f t="shared" si="6"/>
        <v>21977180.600000001</v>
      </c>
    </row>
    <row r="218" spans="1:5" x14ac:dyDescent="0.25">
      <c r="A218" s="2">
        <v>45658</v>
      </c>
      <c r="B218" t="s">
        <v>93</v>
      </c>
      <c r="C218" t="s">
        <v>25</v>
      </c>
      <c r="D218" s="3">
        <f>-1650000*0.0075</f>
        <v>-12375</v>
      </c>
      <c r="E218" s="3">
        <f t="shared" si="6"/>
        <v>21964805.600000001</v>
      </c>
    </row>
    <row r="219" spans="1:5" x14ac:dyDescent="0.25">
      <c r="A219" s="2">
        <v>45839</v>
      </c>
      <c r="B219" t="s">
        <v>93</v>
      </c>
      <c r="C219" t="s">
        <v>32</v>
      </c>
      <c r="D219" s="3">
        <f>0.5*150*900*2.14</f>
        <v>144450</v>
      </c>
      <c r="E219" s="3">
        <f t="shared" si="6"/>
        <v>22109255.600000001</v>
      </c>
    </row>
    <row r="220" spans="1:5" x14ac:dyDescent="0.25">
      <c r="A220" s="2">
        <v>46023</v>
      </c>
      <c r="B220" t="s">
        <v>93</v>
      </c>
      <c r="C220" t="s">
        <v>33</v>
      </c>
      <c r="D220" s="3">
        <f>0.5*150*900*2.14</f>
        <v>144450</v>
      </c>
      <c r="E220" s="3">
        <f t="shared" si="6"/>
        <v>22253705.600000001</v>
      </c>
    </row>
    <row r="221" spans="1:5" x14ac:dyDescent="0.25">
      <c r="A221" s="2">
        <v>46387</v>
      </c>
      <c r="B221" t="s">
        <v>93</v>
      </c>
      <c r="C221" t="s">
        <v>42</v>
      </c>
      <c r="D221" s="3">
        <f>-150*6*10</f>
        <v>-9000</v>
      </c>
      <c r="E221" s="3">
        <f t="shared" si="6"/>
        <v>22244705.600000001</v>
      </c>
    </row>
    <row r="222" spans="1:5" x14ac:dyDescent="0.25">
      <c r="A222" s="2">
        <v>46023</v>
      </c>
      <c r="B222" t="s">
        <v>93</v>
      </c>
      <c r="C222" t="s">
        <v>26</v>
      </c>
      <c r="D222" s="3">
        <f>-1650000*0.0075</f>
        <v>-12375</v>
      </c>
      <c r="E222" s="3">
        <f t="shared" si="6"/>
        <v>22232330.600000001</v>
      </c>
    </row>
    <row r="223" spans="1:5" x14ac:dyDescent="0.25">
      <c r="A223" s="2">
        <v>46204</v>
      </c>
      <c r="B223" t="s">
        <v>93</v>
      </c>
      <c r="C223" t="s">
        <v>34</v>
      </c>
      <c r="D223" s="3">
        <f>0.5*150*900*2.14</f>
        <v>144450</v>
      </c>
      <c r="E223" s="3">
        <f t="shared" si="6"/>
        <v>22376780.600000001</v>
      </c>
    </row>
    <row r="224" spans="1:5" x14ac:dyDescent="0.25">
      <c r="A224" s="2">
        <v>46388</v>
      </c>
      <c r="B224" t="s">
        <v>93</v>
      </c>
      <c r="C224" t="s">
        <v>35</v>
      </c>
      <c r="D224" s="3">
        <f>0.5*150*900*2.14</f>
        <v>144450</v>
      </c>
      <c r="E224" s="3">
        <f t="shared" si="6"/>
        <v>22521230.600000001</v>
      </c>
    </row>
    <row r="225" spans="1:5" x14ac:dyDescent="0.25">
      <c r="A225" s="2">
        <v>46752</v>
      </c>
      <c r="B225" t="s">
        <v>93</v>
      </c>
      <c r="C225" t="s">
        <v>43</v>
      </c>
      <c r="D225" s="3">
        <f>-150*6*10</f>
        <v>-9000</v>
      </c>
      <c r="E225" s="3">
        <f t="shared" si="6"/>
        <v>22512230.600000001</v>
      </c>
    </row>
    <row r="226" spans="1:5" x14ac:dyDescent="0.25">
      <c r="A226" s="2">
        <v>46388</v>
      </c>
      <c r="B226" t="s">
        <v>93</v>
      </c>
      <c r="C226" t="s">
        <v>27</v>
      </c>
      <c r="D226" s="3">
        <f>-1650000*0.0075</f>
        <v>-12375</v>
      </c>
      <c r="E226" s="3">
        <f t="shared" si="6"/>
        <v>22499855.600000001</v>
      </c>
    </row>
    <row r="227" spans="1:5" x14ac:dyDescent="0.25">
      <c r="A227" s="2">
        <v>46569</v>
      </c>
      <c r="B227" t="s">
        <v>93</v>
      </c>
      <c r="C227" t="s">
        <v>36</v>
      </c>
      <c r="D227" s="3">
        <f>0.5*150*900*2.14</f>
        <v>144450</v>
      </c>
      <c r="E227" s="3">
        <f t="shared" si="6"/>
        <v>22644305.600000001</v>
      </c>
    </row>
    <row r="228" spans="1:5" x14ac:dyDescent="0.25">
      <c r="A228" s="2">
        <v>46753</v>
      </c>
      <c r="B228" t="s">
        <v>93</v>
      </c>
      <c r="C228" t="s">
        <v>37</v>
      </c>
      <c r="D228" s="3">
        <f>0.5*150*900*2.14</f>
        <v>144450</v>
      </c>
      <c r="E228" s="3">
        <f t="shared" si="6"/>
        <v>22788755.600000001</v>
      </c>
    </row>
    <row r="229" spans="1:5" x14ac:dyDescent="0.25">
      <c r="A229" s="2">
        <v>46753</v>
      </c>
      <c r="B229" t="s">
        <v>93</v>
      </c>
      <c r="C229" t="s">
        <v>38</v>
      </c>
      <c r="D229" s="3">
        <f>-150*6*10</f>
        <v>-9000</v>
      </c>
      <c r="E229" s="3">
        <f t="shared" si="6"/>
        <v>22779755.600000001</v>
      </c>
    </row>
    <row r="230" spans="1:5" x14ac:dyDescent="0.25">
      <c r="A230" s="2">
        <v>45717</v>
      </c>
      <c r="B230" t="s">
        <v>94</v>
      </c>
      <c r="C230" t="s">
        <v>6</v>
      </c>
      <c r="D230" s="3">
        <v>-45000</v>
      </c>
      <c r="E230" s="3">
        <f t="shared" si="6"/>
        <v>22734755.600000001</v>
      </c>
    </row>
    <row r="231" spans="1:5" x14ac:dyDescent="0.25">
      <c r="A231" s="2">
        <v>45748</v>
      </c>
      <c r="B231" t="s">
        <v>94</v>
      </c>
      <c r="C231" t="s">
        <v>16</v>
      </c>
      <c r="D231" s="3">
        <v>-170000</v>
      </c>
      <c r="E231" s="3">
        <f t="shared" si="6"/>
        <v>22564755.600000001</v>
      </c>
    </row>
    <row r="232" spans="1:5" x14ac:dyDescent="0.25">
      <c r="A232" s="2">
        <v>45778</v>
      </c>
      <c r="B232" t="s">
        <v>94</v>
      </c>
      <c r="C232" t="s">
        <v>9</v>
      </c>
      <c r="D232" s="3">
        <f>-1935000*0.25</f>
        <v>-483750</v>
      </c>
      <c r="E232" s="3">
        <f t="shared" si="6"/>
        <v>22081005.600000001</v>
      </c>
    </row>
    <row r="233" spans="1:5" x14ac:dyDescent="0.25">
      <c r="A233" s="2">
        <v>45839</v>
      </c>
      <c r="B233" t="s">
        <v>94</v>
      </c>
      <c r="C233" t="s">
        <v>8</v>
      </c>
      <c r="D233" s="3">
        <v>-50000</v>
      </c>
      <c r="E233" s="3">
        <f t="shared" si="6"/>
        <v>22031005.600000001</v>
      </c>
    </row>
    <row r="234" spans="1:5" x14ac:dyDescent="0.25">
      <c r="A234" s="2">
        <v>45870</v>
      </c>
      <c r="B234" t="s">
        <v>94</v>
      </c>
      <c r="C234" t="s">
        <v>10</v>
      </c>
      <c r="D234" s="3">
        <f>-1935000*0.75</f>
        <v>-1451250</v>
      </c>
      <c r="E234" s="3">
        <f t="shared" si="6"/>
        <v>20579755.600000001</v>
      </c>
    </row>
    <row r="235" spans="1:5" x14ac:dyDescent="0.25">
      <c r="A235" s="2">
        <v>46022</v>
      </c>
      <c r="B235" t="s">
        <v>94</v>
      </c>
      <c r="C235" t="s">
        <v>41</v>
      </c>
      <c r="D235" s="3">
        <f>-200*6*10</f>
        <v>-12000</v>
      </c>
      <c r="E235" s="3">
        <f t="shared" si="6"/>
        <v>20567755.600000001</v>
      </c>
    </row>
    <row r="236" spans="1:5" x14ac:dyDescent="0.25">
      <c r="A236" s="2">
        <v>45658</v>
      </c>
      <c r="B236" t="s">
        <v>94</v>
      </c>
      <c r="C236" t="s">
        <v>25</v>
      </c>
      <c r="D236" s="3">
        <f>-2200000*0.0075</f>
        <v>-16500</v>
      </c>
      <c r="E236" s="3">
        <f t="shared" si="6"/>
        <v>20551255.600000001</v>
      </c>
    </row>
    <row r="237" spans="1:5" x14ac:dyDescent="0.25">
      <c r="A237" s="2">
        <v>45839</v>
      </c>
      <c r="B237" t="s">
        <v>94</v>
      </c>
      <c r="C237" t="s">
        <v>32</v>
      </c>
      <c r="D237" s="3">
        <f>0.35*200*900*2.14</f>
        <v>134820</v>
      </c>
      <c r="E237" s="3">
        <f t="shared" si="6"/>
        <v>20686075.600000001</v>
      </c>
    </row>
    <row r="238" spans="1:5" x14ac:dyDescent="0.25">
      <c r="A238" s="2">
        <v>46023</v>
      </c>
      <c r="B238" t="s">
        <v>94</v>
      </c>
      <c r="C238" t="s">
        <v>33</v>
      </c>
      <c r="D238" s="3">
        <f>0.5*200*900*2.14</f>
        <v>192600</v>
      </c>
      <c r="E238" s="3">
        <f t="shared" ref="E238:E301" si="7">E237+D238</f>
        <v>20878675.600000001</v>
      </c>
    </row>
    <row r="239" spans="1:5" x14ac:dyDescent="0.25">
      <c r="A239" s="2">
        <v>46387</v>
      </c>
      <c r="B239" t="s">
        <v>94</v>
      </c>
      <c r="C239" t="s">
        <v>42</v>
      </c>
      <c r="D239" s="3">
        <f>-200*6*10</f>
        <v>-12000</v>
      </c>
      <c r="E239" s="3">
        <f t="shared" si="7"/>
        <v>20866675.600000001</v>
      </c>
    </row>
    <row r="240" spans="1:5" x14ac:dyDescent="0.25">
      <c r="A240" s="2">
        <v>46023</v>
      </c>
      <c r="B240" t="s">
        <v>94</v>
      </c>
      <c r="C240" t="s">
        <v>26</v>
      </c>
      <c r="D240" s="3">
        <f>-2200000*0.0075</f>
        <v>-16500</v>
      </c>
      <c r="E240" s="3">
        <f t="shared" si="7"/>
        <v>20850175.600000001</v>
      </c>
    </row>
    <row r="241" spans="1:5" x14ac:dyDescent="0.25">
      <c r="A241" s="2">
        <v>46204</v>
      </c>
      <c r="B241" t="s">
        <v>94</v>
      </c>
      <c r="C241" t="s">
        <v>34</v>
      </c>
      <c r="D241" s="3">
        <f>0.5*200*900*2.14</f>
        <v>192600</v>
      </c>
      <c r="E241" s="3">
        <f t="shared" si="7"/>
        <v>21042775.600000001</v>
      </c>
    </row>
    <row r="242" spans="1:5" x14ac:dyDescent="0.25">
      <c r="A242" s="2">
        <v>46388</v>
      </c>
      <c r="B242" t="s">
        <v>94</v>
      </c>
      <c r="C242" t="s">
        <v>35</v>
      </c>
      <c r="D242" s="3">
        <f>0.5*200*900*2.14</f>
        <v>192600</v>
      </c>
      <c r="E242" s="3">
        <f t="shared" si="7"/>
        <v>21235375.600000001</v>
      </c>
    </row>
    <row r="243" spans="1:5" x14ac:dyDescent="0.25">
      <c r="A243" s="2">
        <v>46752</v>
      </c>
      <c r="B243" t="s">
        <v>94</v>
      </c>
      <c r="C243" t="s">
        <v>43</v>
      </c>
      <c r="D243" s="3">
        <f>-200*6*10</f>
        <v>-12000</v>
      </c>
      <c r="E243" s="3">
        <f t="shared" si="7"/>
        <v>21223375.600000001</v>
      </c>
    </row>
    <row r="244" spans="1:5" x14ac:dyDescent="0.25">
      <c r="A244" s="2">
        <v>46388</v>
      </c>
      <c r="B244" t="s">
        <v>94</v>
      </c>
      <c r="C244" t="s">
        <v>27</v>
      </c>
      <c r="D244" s="3">
        <f>-2200000*0.0075</f>
        <v>-16500</v>
      </c>
      <c r="E244" s="3">
        <f t="shared" si="7"/>
        <v>21206875.600000001</v>
      </c>
    </row>
    <row r="245" spans="1:5" x14ac:dyDescent="0.25">
      <c r="A245" s="2">
        <v>46569</v>
      </c>
      <c r="B245" t="s">
        <v>94</v>
      </c>
      <c r="C245" t="s">
        <v>36</v>
      </c>
      <c r="D245" s="3">
        <f>0.5*200*900*2.14</f>
        <v>192600</v>
      </c>
      <c r="E245" s="3">
        <f t="shared" si="7"/>
        <v>21399475.600000001</v>
      </c>
    </row>
    <row r="246" spans="1:5" x14ac:dyDescent="0.25">
      <c r="A246" s="2">
        <v>46753</v>
      </c>
      <c r="B246" t="s">
        <v>94</v>
      </c>
      <c r="C246" t="s">
        <v>37</v>
      </c>
      <c r="D246" s="3">
        <f>0.5*200*900*2.14</f>
        <v>192600</v>
      </c>
      <c r="E246" s="3">
        <f t="shared" si="7"/>
        <v>21592075.600000001</v>
      </c>
    </row>
    <row r="247" spans="1:5" x14ac:dyDescent="0.25">
      <c r="A247" s="2">
        <v>46753</v>
      </c>
      <c r="B247" t="s">
        <v>94</v>
      </c>
      <c r="C247" t="s">
        <v>38</v>
      </c>
      <c r="D247" s="3">
        <f>-200*6*10</f>
        <v>-12000</v>
      </c>
      <c r="E247" s="3">
        <f t="shared" si="7"/>
        <v>21580075.600000001</v>
      </c>
    </row>
    <row r="248" spans="1:5" x14ac:dyDescent="0.25">
      <c r="A248" s="2">
        <v>45748</v>
      </c>
      <c r="B248" t="s">
        <v>95</v>
      </c>
      <c r="C248" t="s">
        <v>6</v>
      </c>
      <c r="D248" s="3">
        <v>-40000</v>
      </c>
      <c r="E248" s="3">
        <f t="shared" si="7"/>
        <v>21540075.600000001</v>
      </c>
    </row>
    <row r="249" spans="1:5" x14ac:dyDescent="0.25">
      <c r="A249" s="2">
        <v>45778</v>
      </c>
      <c r="B249" t="s">
        <v>95</v>
      </c>
      <c r="C249" t="s">
        <v>16</v>
      </c>
      <c r="D249" s="3">
        <v>-125000</v>
      </c>
      <c r="E249" s="3">
        <f t="shared" si="7"/>
        <v>21415075.600000001</v>
      </c>
    </row>
    <row r="250" spans="1:5" x14ac:dyDescent="0.25">
      <c r="A250" s="2">
        <v>45809</v>
      </c>
      <c r="B250" t="s">
        <v>95</v>
      </c>
      <c r="C250" t="s">
        <v>9</v>
      </c>
      <c r="D250" s="3">
        <f>-1530000*0.25</f>
        <v>-382500</v>
      </c>
      <c r="E250" s="3">
        <f t="shared" si="7"/>
        <v>21032575.600000001</v>
      </c>
    </row>
    <row r="251" spans="1:5" x14ac:dyDescent="0.25">
      <c r="A251" s="2">
        <v>45870</v>
      </c>
      <c r="B251" t="s">
        <v>95</v>
      </c>
      <c r="C251" t="s">
        <v>8</v>
      </c>
      <c r="D251" s="3">
        <v>-45000</v>
      </c>
      <c r="E251" s="3">
        <f t="shared" si="7"/>
        <v>20987575.600000001</v>
      </c>
    </row>
    <row r="252" spans="1:5" x14ac:dyDescent="0.25">
      <c r="A252" s="2">
        <v>45901</v>
      </c>
      <c r="B252" t="s">
        <v>95</v>
      </c>
      <c r="C252" t="s">
        <v>10</v>
      </c>
      <c r="D252" s="3">
        <f>-1530000*0.75</f>
        <v>-1147500</v>
      </c>
      <c r="E252" s="3">
        <f t="shared" si="7"/>
        <v>19840075.600000001</v>
      </c>
    </row>
    <row r="253" spans="1:5" x14ac:dyDescent="0.25">
      <c r="A253" s="2">
        <v>46022</v>
      </c>
      <c r="B253" t="s">
        <v>95</v>
      </c>
      <c r="C253" t="s">
        <v>41</v>
      </c>
      <c r="D253" s="3">
        <f>-156*6*10</f>
        <v>-9360</v>
      </c>
      <c r="E253" s="3">
        <f t="shared" si="7"/>
        <v>19830715.600000001</v>
      </c>
    </row>
    <row r="254" spans="1:5" x14ac:dyDescent="0.25">
      <c r="A254" s="2">
        <v>45658</v>
      </c>
      <c r="B254" t="s">
        <v>95</v>
      </c>
      <c r="C254" t="s">
        <v>25</v>
      </c>
      <c r="D254" s="3">
        <f>-1740000*0.0075</f>
        <v>-13050</v>
      </c>
      <c r="E254" s="3">
        <f t="shared" si="7"/>
        <v>19817665.600000001</v>
      </c>
    </row>
    <row r="255" spans="1:5" x14ac:dyDescent="0.25">
      <c r="A255" s="2">
        <v>45839</v>
      </c>
      <c r="B255" t="s">
        <v>95</v>
      </c>
      <c r="C255" t="s">
        <v>32</v>
      </c>
      <c r="D255" s="3">
        <f>0.15*156*900*2.14</f>
        <v>45068.4</v>
      </c>
      <c r="E255" s="3">
        <f t="shared" si="7"/>
        <v>19862734</v>
      </c>
    </row>
    <row r="256" spans="1:5" x14ac:dyDescent="0.25">
      <c r="A256" s="2">
        <v>46023</v>
      </c>
      <c r="B256" t="s">
        <v>95</v>
      </c>
      <c r="C256" t="s">
        <v>33</v>
      </c>
      <c r="D256" s="3">
        <f>0.5*156*900*2.14</f>
        <v>150228</v>
      </c>
      <c r="E256" s="3">
        <f t="shared" si="7"/>
        <v>20012962</v>
      </c>
    </row>
    <row r="257" spans="1:5" x14ac:dyDescent="0.25">
      <c r="A257" s="2">
        <v>46387</v>
      </c>
      <c r="B257" t="s">
        <v>95</v>
      </c>
      <c r="C257" t="s">
        <v>42</v>
      </c>
      <c r="D257" s="3">
        <f>-156*6*10</f>
        <v>-9360</v>
      </c>
      <c r="E257" s="3">
        <f t="shared" si="7"/>
        <v>20003602</v>
      </c>
    </row>
    <row r="258" spans="1:5" x14ac:dyDescent="0.25">
      <c r="A258" s="2">
        <v>46023</v>
      </c>
      <c r="B258" t="s">
        <v>95</v>
      </c>
      <c r="C258" t="s">
        <v>26</v>
      </c>
      <c r="D258" s="3">
        <f>-1740000*0.0075</f>
        <v>-13050</v>
      </c>
      <c r="E258" s="3">
        <f t="shared" si="7"/>
        <v>19990552</v>
      </c>
    </row>
    <row r="259" spans="1:5" x14ac:dyDescent="0.25">
      <c r="A259" s="2">
        <v>46204</v>
      </c>
      <c r="B259" t="s">
        <v>95</v>
      </c>
      <c r="C259" t="s">
        <v>34</v>
      </c>
      <c r="D259" s="3">
        <f>0.5*156*900*2.14</f>
        <v>150228</v>
      </c>
      <c r="E259" s="3">
        <f t="shared" si="7"/>
        <v>20140780</v>
      </c>
    </row>
    <row r="260" spans="1:5" x14ac:dyDescent="0.25">
      <c r="A260" s="2">
        <v>46388</v>
      </c>
      <c r="B260" t="s">
        <v>95</v>
      </c>
      <c r="C260" t="s">
        <v>35</v>
      </c>
      <c r="D260" s="3">
        <f>0.5*156*900*2.14</f>
        <v>150228</v>
      </c>
      <c r="E260" s="3">
        <f t="shared" si="7"/>
        <v>20291008</v>
      </c>
    </row>
    <row r="261" spans="1:5" x14ac:dyDescent="0.25">
      <c r="A261" s="2">
        <v>46752</v>
      </c>
      <c r="B261" t="s">
        <v>95</v>
      </c>
      <c r="C261" t="s">
        <v>43</v>
      </c>
      <c r="D261" s="3">
        <f>-156*6*10</f>
        <v>-9360</v>
      </c>
      <c r="E261" s="3">
        <f t="shared" si="7"/>
        <v>20281648</v>
      </c>
    </row>
    <row r="262" spans="1:5" x14ac:dyDescent="0.25">
      <c r="A262" s="2">
        <v>46388</v>
      </c>
      <c r="B262" t="s">
        <v>95</v>
      </c>
      <c r="C262" t="s">
        <v>27</v>
      </c>
      <c r="D262" s="3">
        <f>-1740000*0.0075</f>
        <v>-13050</v>
      </c>
      <c r="E262" s="3">
        <f t="shared" si="7"/>
        <v>20268598</v>
      </c>
    </row>
    <row r="263" spans="1:5" x14ac:dyDescent="0.25">
      <c r="A263" s="2">
        <v>46569</v>
      </c>
      <c r="B263" t="s">
        <v>95</v>
      </c>
      <c r="C263" t="s">
        <v>36</v>
      </c>
      <c r="D263" s="3">
        <f>0.5*156*900*2.14</f>
        <v>150228</v>
      </c>
      <c r="E263" s="3">
        <f t="shared" si="7"/>
        <v>20418826</v>
      </c>
    </row>
    <row r="264" spans="1:5" x14ac:dyDescent="0.25">
      <c r="A264" s="2">
        <v>46753</v>
      </c>
      <c r="B264" t="s">
        <v>95</v>
      </c>
      <c r="C264" t="s">
        <v>37</v>
      </c>
      <c r="D264" s="3">
        <f>0.5*156*900*2.14</f>
        <v>150228</v>
      </c>
      <c r="E264" s="3">
        <f t="shared" si="7"/>
        <v>20569054</v>
      </c>
    </row>
    <row r="265" spans="1:5" x14ac:dyDescent="0.25">
      <c r="A265" s="2">
        <v>46753</v>
      </c>
      <c r="B265" t="s">
        <v>95</v>
      </c>
      <c r="C265" t="s">
        <v>38</v>
      </c>
      <c r="D265" s="3">
        <f>-156*6*10</f>
        <v>-9360</v>
      </c>
      <c r="E265" s="3">
        <f t="shared" si="7"/>
        <v>20559694</v>
      </c>
    </row>
    <row r="266" spans="1:5" x14ac:dyDescent="0.25">
      <c r="A266" s="2">
        <v>45809</v>
      </c>
      <c r="B266" t="s">
        <v>60</v>
      </c>
      <c r="C266" t="s">
        <v>6</v>
      </c>
      <c r="D266" s="3">
        <v>-90000</v>
      </c>
      <c r="E266" s="3">
        <f t="shared" si="7"/>
        <v>20469694</v>
      </c>
    </row>
    <row r="267" spans="1:5" x14ac:dyDescent="0.25">
      <c r="A267" s="2">
        <v>45839</v>
      </c>
      <c r="B267" t="s">
        <v>60</v>
      </c>
      <c r="C267" t="s">
        <v>16</v>
      </c>
      <c r="D267" s="3">
        <v>-270000</v>
      </c>
      <c r="E267" s="3">
        <f t="shared" si="7"/>
        <v>20199694</v>
      </c>
    </row>
    <row r="268" spans="1:5" x14ac:dyDescent="0.25">
      <c r="A268" s="2">
        <v>45870</v>
      </c>
      <c r="B268" t="s">
        <v>60</v>
      </c>
      <c r="C268" t="s">
        <v>9</v>
      </c>
      <c r="D268" s="3">
        <f>-3260000*0.25</f>
        <v>-815000</v>
      </c>
      <c r="E268" s="3">
        <f t="shared" si="7"/>
        <v>19384694</v>
      </c>
    </row>
    <row r="269" spans="1:5" x14ac:dyDescent="0.25">
      <c r="A269" s="2">
        <v>45931</v>
      </c>
      <c r="B269" t="s">
        <v>60</v>
      </c>
      <c r="C269" t="s">
        <v>8</v>
      </c>
      <c r="D269" s="3">
        <v>-80000</v>
      </c>
      <c r="E269" s="3">
        <f t="shared" si="7"/>
        <v>19304694</v>
      </c>
    </row>
    <row r="270" spans="1:5" x14ac:dyDescent="0.25">
      <c r="A270" s="2">
        <v>45962</v>
      </c>
      <c r="B270" t="s">
        <v>60</v>
      </c>
      <c r="C270" t="s">
        <v>10</v>
      </c>
      <c r="D270" s="3">
        <f>-3260000*0.75</f>
        <v>-2445000</v>
      </c>
      <c r="E270" s="3">
        <f t="shared" si="7"/>
        <v>16859694</v>
      </c>
    </row>
    <row r="271" spans="1:5" x14ac:dyDescent="0.25">
      <c r="A271" s="2">
        <v>46022</v>
      </c>
      <c r="B271" t="s">
        <v>60</v>
      </c>
      <c r="C271" t="s">
        <v>41</v>
      </c>
      <c r="D271" s="3">
        <f>-315*6*10</f>
        <v>-18900</v>
      </c>
      <c r="E271" s="3">
        <f t="shared" si="7"/>
        <v>16840794</v>
      </c>
    </row>
    <row r="272" spans="1:5" x14ac:dyDescent="0.25">
      <c r="A272" s="2">
        <v>45658</v>
      </c>
      <c r="B272" t="s">
        <v>60</v>
      </c>
      <c r="C272" t="s">
        <v>25</v>
      </c>
      <c r="D272" s="3">
        <f>-3700000*0.0075</f>
        <v>-27750</v>
      </c>
      <c r="E272" s="3">
        <f t="shared" si="7"/>
        <v>16813044</v>
      </c>
    </row>
    <row r="273" spans="1:5" x14ac:dyDescent="0.25">
      <c r="A273" s="2">
        <v>46023</v>
      </c>
      <c r="B273" t="s">
        <v>60</v>
      </c>
      <c r="C273" t="s">
        <v>33</v>
      </c>
      <c r="D273" s="3">
        <f>0.25*315*900*2.14</f>
        <v>151672.5</v>
      </c>
      <c r="E273" s="3">
        <f t="shared" si="7"/>
        <v>16964716.5</v>
      </c>
    </row>
    <row r="274" spans="1:5" x14ac:dyDescent="0.25">
      <c r="A274" s="2">
        <v>46387</v>
      </c>
      <c r="B274" t="s">
        <v>60</v>
      </c>
      <c r="C274" t="s">
        <v>42</v>
      </c>
      <c r="D274" s="3">
        <f>-315*6*10</f>
        <v>-18900</v>
      </c>
      <c r="E274" s="3">
        <f t="shared" si="7"/>
        <v>16945816.5</v>
      </c>
    </row>
    <row r="275" spans="1:5" x14ac:dyDescent="0.25">
      <c r="A275" s="2">
        <v>46023</v>
      </c>
      <c r="B275" t="s">
        <v>60</v>
      </c>
      <c r="C275" t="s">
        <v>26</v>
      </c>
      <c r="D275" s="3">
        <f>-3700000*0.0075</f>
        <v>-27750</v>
      </c>
      <c r="E275" s="3">
        <f t="shared" si="7"/>
        <v>16918066.5</v>
      </c>
    </row>
    <row r="276" spans="1:5" x14ac:dyDescent="0.25">
      <c r="A276" s="2">
        <v>46204</v>
      </c>
      <c r="B276" t="s">
        <v>60</v>
      </c>
      <c r="C276" t="s">
        <v>34</v>
      </c>
      <c r="D276" s="3">
        <f>0.5*315*900*2.14</f>
        <v>303345</v>
      </c>
      <c r="E276" s="3">
        <f t="shared" si="7"/>
        <v>17221411.5</v>
      </c>
    </row>
    <row r="277" spans="1:5" x14ac:dyDescent="0.25">
      <c r="A277" s="2">
        <v>46388</v>
      </c>
      <c r="B277" t="s">
        <v>60</v>
      </c>
      <c r="C277" t="s">
        <v>35</v>
      </c>
      <c r="D277" s="3">
        <f>0.5*315*900*2.14</f>
        <v>303345</v>
      </c>
      <c r="E277" s="3">
        <f t="shared" si="7"/>
        <v>17524756.5</v>
      </c>
    </row>
    <row r="278" spans="1:5" x14ac:dyDescent="0.25">
      <c r="A278" s="2">
        <v>46752</v>
      </c>
      <c r="B278" t="s">
        <v>60</v>
      </c>
      <c r="C278" t="s">
        <v>43</v>
      </c>
      <c r="D278" s="3">
        <f>-315*6*10</f>
        <v>-18900</v>
      </c>
      <c r="E278" s="3">
        <f t="shared" si="7"/>
        <v>17505856.5</v>
      </c>
    </row>
    <row r="279" spans="1:5" x14ac:dyDescent="0.25">
      <c r="A279" s="2">
        <v>46388</v>
      </c>
      <c r="B279" t="s">
        <v>60</v>
      </c>
      <c r="C279" t="s">
        <v>27</v>
      </c>
      <c r="D279" s="3">
        <f>-3700000*0.0075</f>
        <v>-27750</v>
      </c>
      <c r="E279" s="3">
        <f t="shared" si="7"/>
        <v>17478106.5</v>
      </c>
    </row>
    <row r="280" spans="1:5" x14ac:dyDescent="0.25">
      <c r="A280" s="2">
        <v>46569</v>
      </c>
      <c r="B280" t="s">
        <v>60</v>
      </c>
      <c r="C280" t="s">
        <v>36</v>
      </c>
      <c r="D280" s="3">
        <f>0.5*315*900*2.14</f>
        <v>303345</v>
      </c>
      <c r="E280" s="3">
        <f t="shared" si="7"/>
        <v>17781451.5</v>
      </c>
    </row>
    <row r="281" spans="1:5" x14ac:dyDescent="0.25">
      <c r="A281" s="2">
        <v>46753</v>
      </c>
      <c r="B281" t="s">
        <v>60</v>
      </c>
      <c r="C281" t="s">
        <v>37</v>
      </c>
      <c r="D281" s="3">
        <f>0.5*315*900*2.14</f>
        <v>303345</v>
      </c>
      <c r="E281" s="3">
        <f t="shared" si="7"/>
        <v>18084796.5</v>
      </c>
    </row>
    <row r="282" spans="1:5" x14ac:dyDescent="0.25">
      <c r="A282" s="2">
        <v>46753</v>
      </c>
      <c r="B282" t="s">
        <v>60</v>
      </c>
      <c r="C282" t="s">
        <v>38</v>
      </c>
      <c r="D282" s="3">
        <f>-3700000*0.0075</f>
        <v>-27750</v>
      </c>
      <c r="E282" s="3">
        <f t="shared" si="7"/>
        <v>18057046.5</v>
      </c>
    </row>
    <row r="283" spans="1:5" x14ac:dyDescent="0.25">
      <c r="A283" s="2">
        <v>46054</v>
      </c>
      <c r="B283" t="s">
        <v>63</v>
      </c>
      <c r="C283" t="s">
        <v>6</v>
      </c>
      <c r="D283" s="3">
        <v>-120000</v>
      </c>
      <c r="E283" s="3">
        <f t="shared" si="7"/>
        <v>17937046.5</v>
      </c>
    </row>
    <row r="284" spans="1:5" x14ac:dyDescent="0.25">
      <c r="A284" s="2">
        <v>46082</v>
      </c>
      <c r="B284" t="s">
        <v>63</v>
      </c>
      <c r="C284" t="s">
        <v>16</v>
      </c>
      <c r="D284" s="3">
        <v>-310000</v>
      </c>
      <c r="E284" s="3">
        <f t="shared" si="7"/>
        <v>17627046.5</v>
      </c>
    </row>
    <row r="285" spans="1:5" x14ac:dyDescent="0.25">
      <c r="A285" s="2">
        <v>46113</v>
      </c>
      <c r="B285" t="s">
        <v>63</v>
      </c>
      <c r="C285" t="s">
        <v>9</v>
      </c>
      <c r="D285" s="3">
        <f>-4100000*0.25</f>
        <v>-1025000</v>
      </c>
      <c r="E285" s="3">
        <f t="shared" si="7"/>
        <v>16602046.5</v>
      </c>
    </row>
    <row r="286" spans="1:5" x14ac:dyDescent="0.25">
      <c r="A286" s="2">
        <v>46174</v>
      </c>
      <c r="B286" t="s">
        <v>63</v>
      </c>
      <c r="C286" t="s">
        <v>8</v>
      </c>
      <c r="D286" s="3">
        <v>-120000</v>
      </c>
      <c r="E286" s="3">
        <f t="shared" si="7"/>
        <v>16482046.5</v>
      </c>
    </row>
    <row r="287" spans="1:5" x14ac:dyDescent="0.25">
      <c r="A287" s="2">
        <v>46204</v>
      </c>
      <c r="B287" t="s">
        <v>63</v>
      </c>
      <c r="C287" t="s">
        <v>10</v>
      </c>
      <c r="D287" s="3">
        <f>-4100000*0.75</f>
        <v>-3075000</v>
      </c>
      <c r="E287" s="3">
        <f t="shared" si="7"/>
        <v>13407046.5</v>
      </c>
    </row>
    <row r="288" spans="1:5" x14ac:dyDescent="0.25">
      <c r="A288" s="2">
        <v>46387</v>
      </c>
      <c r="B288" t="s">
        <v>63</v>
      </c>
      <c r="C288" t="s">
        <v>42</v>
      </c>
      <c r="D288" s="3">
        <f>-388*6*10</f>
        <v>-23280</v>
      </c>
      <c r="E288" s="3">
        <f t="shared" si="7"/>
        <v>13383766.5</v>
      </c>
    </row>
    <row r="289" spans="1:5" x14ac:dyDescent="0.25">
      <c r="A289" s="2">
        <v>46023</v>
      </c>
      <c r="B289" t="s">
        <v>63</v>
      </c>
      <c r="C289" t="s">
        <v>26</v>
      </c>
      <c r="D289" s="3">
        <f>-4650000*0.0075</f>
        <v>-34875</v>
      </c>
      <c r="E289" s="3">
        <f t="shared" si="7"/>
        <v>13348891.5</v>
      </c>
    </row>
    <row r="290" spans="1:5" x14ac:dyDescent="0.25">
      <c r="A290" s="2">
        <v>46204</v>
      </c>
      <c r="B290" t="s">
        <v>63</v>
      </c>
      <c r="C290" t="s">
        <v>34</v>
      </c>
      <c r="D290" s="3">
        <f>0.3*388*900*2.14</f>
        <v>224186.4</v>
      </c>
      <c r="E290" s="3">
        <f t="shared" si="7"/>
        <v>13573077.9</v>
      </c>
    </row>
    <row r="291" spans="1:5" x14ac:dyDescent="0.25">
      <c r="A291" s="2">
        <v>46388</v>
      </c>
      <c r="B291" t="s">
        <v>63</v>
      </c>
      <c r="C291" t="s">
        <v>35</v>
      </c>
      <c r="D291" s="3">
        <f>0.5*388*900*2.14</f>
        <v>373644</v>
      </c>
      <c r="E291" s="3">
        <f t="shared" si="7"/>
        <v>13946721.9</v>
      </c>
    </row>
    <row r="292" spans="1:5" x14ac:dyDescent="0.25">
      <c r="A292" s="2">
        <v>46752</v>
      </c>
      <c r="B292" t="s">
        <v>63</v>
      </c>
      <c r="C292" t="s">
        <v>43</v>
      </c>
      <c r="D292" s="3">
        <f>-388*6*10</f>
        <v>-23280</v>
      </c>
      <c r="E292" s="3">
        <f t="shared" si="7"/>
        <v>13923441.9</v>
      </c>
    </row>
    <row r="293" spans="1:5" x14ac:dyDescent="0.25">
      <c r="A293" s="2">
        <v>46388</v>
      </c>
      <c r="B293" t="s">
        <v>63</v>
      </c>
      <c r="C293" t="s">
        <v>27</v>
      </c>
      <c r="D293" s="3">
        <f>-3880000*0.0075</f>
        <v>-29100</v>
      </c>
      <c r="E293" s="3">
        <f t="shared" si="7"/>
        <v>13894341.9</v>
      </c>
    </row>
    <row r="294" spans="1:5" x14ac:dyDescent="0.25">
      <c r="A294" s="2">
        <v>46569</v>
      </c>
      <c r="B294" t="s">
        <v>63</v>
      </c>
      <c r="C294" t="s">
        <v>36</v>
      </c>
      <c r="D294" s="3">
        <f>0.5*388*900*2.14</f>
        <v>373644</v>
      </c>
      <c r="E294" s="3">
        <f t="shared" si="7"/>
        <v>14267985.9</v>
      </c>
    </row>
    <row r="295" spans="1:5" x14ac:dyDescent="0.25">
      <c r="A295" s="2">
        <v>46753</v>
      </c>
      <c r="B295" t="s">
        <v>63</v>
      </c>
      <c r="C295" t="s">
        <v>37</v>
      </c>
      <c r="D295" s="3">
        <f>0.5*388*900*2.14</f>
        <v>373644</v>
      </c>
      <c r="E295" s="3">
        <f t="shared" si="7"/>
        <v>14641629.9</v>
      </c>
    </row>
    <row r="296" spans="1:5" x14ac:dyDescent="0.25">
      <c r="A296" s="2">
        <v>46753</v>
      </c>
      <c r="B296" t="s">
        <v>63</v>
      </c>
      <c r="C296" t="s">
        <v>38</v>
      </c>
      <c r="D296" s="3">
        <f>-3880000*0.0075</f>
        <v>-29100</v>
      </c>
      <c r="E296" s="3">
        <f t="shared" si="7"/>
        <v>14612529.9</v>
      </c>
    </row>
    <row r="297" spans="1:5" x14ac:dyDescent="0.25">
      <c r="A297" s="2">
        <v>46174</v>
      </c>
      <c r="B297" t="s">
        <v>64</v>
      </c>
      <c r="C297" t="s">
        <v>6</v>
      </c>
      <c r="D297" s="3">
        <v>-120000</v>
      </c>
      <c r="E297" s="3">
        <f t="shared" si="7"/>
        <v>14492529.9</v>
      </c>
    </row>
    <row r="298" spans="1:5" x14ac:dyDescent="0.25">
      <c r="A298" s="2">
        <v>46204</v>
      </c>
      <c r="B298" t="s">
        <v>64</v>
      </c>
      <c r="C298" t="s">
        <v>16</v>
      </c>
      <c r="D298" s="3">
        <v>-310000</v>
      </c>
      <c r="E298" s="3">
        <f t="shared" si="7"/>
        <v>14182529.9</v>
      </c>
    </row>
    <row r="299" spans="1:5" x14ac:dyDescent="0.25">
      <c r="A299" s="2">
        <v>46235</v>
      </c>
      <c r="B299" t="s">
        <v>64</v>
      </c>
      <c r="C299" t="s">
        <v>9</v>
      </c>
      <c r="D299" s="3">
        <f>-4100000*0.25</f>
        <v>-1025000</v>
      </c>
      <c r="E299" s="3">
        <f t="shared" si="7"/>
        <v>13157529.9</v>
      </c>
    </row>
    <row r="300" spans="1:5" x14ac:dyDescent="0.25">
      <c r="A300" s="2">
        <v>46296</v>
      </c>
      <c r="B300" t="s">
        <v>64</v>
      </c>
      <c r="C300" t="s">
        <v>8</v>
      </c>
      <c r="D300" s="3">
        <v>-120000</v>
      </c>
      <c r="E300" s="3">
        <f t="shared" si="7"/>
        <v>13037529.9</v>
      </c>
    </row>
    <row r="301" spans="1:5" x14ac:dyDescent="0.25">
      <c r="A301" s="2">
        <v>46327</v>
      </c>
      <c r="B301" t="s">
        <v>64</v>
      </c>
      <c r="C301" t="s">
        <v>10</v>
      </c>
      <c r="D301" s="3">
        <f>-4100000*0.75</f>
        <v>-3075000</v>
      </c>
      <c r="E301" s="3">
        <f t="shared" si="7"/>
        <v>9962529.9000000004</v>
      </c>
    </row>
    <row r="302" spans="1:5" x14ac:dyDescent="0.25">
      <c r="A302" s="2">
        <v>46387</v>
      </c>
      <c r="B302" t="s">
        <v>64</v>
      </c>
      <c r="C302" t="s">
        <v>42</v>
      </c>
      <c r="D302" s="3">
        <f>-388*6*10</f>
        <v>-23280</v>
      </c>
      <c r="E302" s="3">
        <f t="shared" ref="E302:E309" si="8">E301+D302</f>
        <v>9939249.9000000004</v>
      </c>
    </row>
    <row r="303" spans="1:5" x14ac:dyDescent="0.25">
      <c r="A303" s="2">
        <v>46023</v>
      </c>
      <c r="B303" t="s">
        <v>64</v>
      </c>
      <c r="C303" t="s">
        <v>26</v>
      </c>
      <c r="D303" s="3">
        <f>-4650000*0.0075</f>
        <v>-34875</v>
      </c>
      <c r="E303" s="3">
        <f t="shared" si="8"/>
        <v>9904374.9000000004</v>
      </c>
    </row>
    <row r="304" spans="1:5" x14ac:dyDescent="0.25">
      <c r="A304" s="2">
        <v>46388</v>
      </c>
      <c r="B304" t="s">
        <v>64</v>
      </c>
      <c r="C304" t="s">
        <v>35</v>
      </c>
      <c r="D304" s="3">
        <f>0.3*388*900*2.14</f>
        <v>224186.4</v>
      </c>
      <c r="E304" s="3">
        <f t="shared" si="8"/>
        <v>10128561.300000001</v>
      </c>
    </row>
    <row r="305" spans="1:5" x14ac:dyDescent="0.25">
      <c r="A305" s="2">
        <v>46752</v>
      </c>
      <c r="B305" t="s">
        <v>64</v>
      </c>
      <c r="C305" t="s">
        <v>43</v>
      </c>
      <c r="D305" s="3">
        <f>-388*6*10</f>
        <v>-23280</v>
      </c>
      <c r="E305" s="3">
        <f t="shared" si="8"/>
        <v>10105281.300000001</v>
      </c>
    </row>
    <row r="306" spans="1:5" x14ac:dyDescent="0.25">
      <c r="A306" s="2">
        <v>46388</v>
      </c>
      <c r="B306" t="s">
        <v>64</v>
      </c>
      <c r="C306" t="s">
        <v>27</v>
      </c>
      <c r="D306" s="3">
        <f>-3880000*0.0075</f>
        <v>-29100</v>
      </c>
      <c r="E306" s="3">
        <f t="shared" si="8"/>
        <v>10076181.300000001</v>
      </c>
    </row>
    <row r="307" spans="1:5" x14ac:dyDescent="0.25">
      <c r="A307" s="2">
        <v>46569</v>
      </c>
      <c r="B307" t="s">
        <v>64</v>
      </c>
      <c r="C307" t="s">
        <v>36</v>
      </c>
      <c r="D307" s="3">
        <f>0.5*388*900*2.14</f>
        <v>373644</v>
      </c>
      <c r="E307" s="3">
        <f t="shared" si="8"/>
        <v>10449825.300000001</v>
      </c>
    </row>
    <row r="308" spans="1:5" x14ac:dyDescent="0.25">
      <c r="A308" s="2">
        <v>46753</v>
      </c>
      <c r="B308" t="s">
        <v>64</v>
      </c>
      <c r="C308" t="s">
        <v>37</v>
      </c>
      <c r="D308" s="3">
        <f>0.5*388*900*2.14</f>
        <v>373644</v>
      </c>
      <c r="E308" s="3">
        <f t="shared" si="8"/>
        <v>10823469.300000001</v>
      </c>
    </row>
    <row r="309" spans="1:5" x14ac:dyDescent="0.25">
      <c r="A309" s="2">
        <v>46753</v>
      </c>
      <c r="B309" t="s">
        <v>64</v>
      </c>
      <c r="C309" t="s">
        <v>38</v>
      </c>
      <c r="D309" s="3">
        <f>-3880000*0.0075</f>
        <v>-29100</v>
      </c>
      <c r="E309" s="3">
        <f t="shared" si="8"/>
        <v>10794369.300000001</v>
      </c>
    </row>
    <row r="310" spans="1:5" x14ac:dyDescent="0.25">
      <c r="D310" s="3"/>
      <c r="E310" s="3"/>
    </row>
    <row r="311" spans="1:5" x14ac:dyDescent="0.25">
      <c r="D311" s="3"/>
      <c r="E311" s="3"/>
    </row>
    <row r="312" spans="1:5" x14ac:dyDescent="0.25">
      <c r="D312" s="3"/>
      <c r="E312" s="3"/>
    </row>
    <row r="313" spans="1:5" x14ac:dyDescent="0.25">
      <c r="D313" s="3"/>
      <c r="E313" s="3"/>
    </row>
    <row r="314" spans="1:5" x14ac:dyDescent="0.25">
      <c r="D314" s="3"/>
      <c r="E314" s="3"/>
    </row>
    <row r="315" spans="1:5" x14ac:dyDescent="0.25">
      <c r="D315" s="3"/>
      <c r="E315" s="3"/>
    </row>
    <row r="316" spans="1:5" x14ac:dyDescent="0.25">
      <c r="D316" s="3"/>
      <c r="E316" s="3"/>
    </row>
    <row r="317" spans="1:5" x14ac:dyDescent="0.25">
      <c r="D317" s="3"/>
      <c r="E317" s="3"/>
    </row>
    <row r="318" spans="1:5" x14ac:dyDescent="0.25">
      <c r="D318" s="3"/>
      <c r="E318" s="3"/>
    </row>
    <row r="319" spans="1:5" x14ac:dyDescent="0.25">
      <c r="D319" s="3"/>
      <c r="E319" s="3"/>
    </row>
    <row r="320" spans="1:5" x14ac:dyDescent="0.25">
      <c r="D320" s="3"/>
      <c r="E320" s="3"/>
    </row>
    <row r="321" spans="4:5" x14ac:dyDescent="0.25">
      <c r="D321" s="3"/>
      <c r="E321" s="3"/>
    </row>
    <row r="322" spans="4:5" x14ac:dyDescent="0.25">
      <c r="D322" s="3"/>
      <c r="E322" s="3"/>
    </row>
    <row r="323" spans="4:5" x14ac:dyDescent="0.25">
      <c r="D323" s="3"/>
      <c r="E323" s="3"/>
    </row>
    <row r="324" spans="4:5" x14ac:dyDescent="0.25">
      <c r="D324" s="3"/>
      <c r="E324" s="3"/>
    </row>
    <row r="325" spans="4:5" x14ac:dyDescent="0.25">
      <c r="D325" s="3"/>
      <c r="E325" s="3"/>
    </row>
    <row r="326" spans="4:5" x14ac:dyDescent="0.25">
      <c r="D326" s="3"/>
      <c r="E326" s="3"/>
    </row>
    <row r="327" spans="4:5" x14ac:dyDescent="0.25">
      <c r="D327" s="3"/>
      <c r="E327" s="3"/>
    </row>
    <row r="328" spans="4:5" x14ac:dyDescent="0.25">
      <c r="D328" s="3"/>
      <c r="E328" s="3"/>
    </row>
    <row r="329" spans="4:5" x14ac:dyDescent="0.25">
      <c r="D329" s="3"/>
      <c r="E329" s="3"/>
    </row>
    <row r="330" spans="4:5" x14ac:dyDescent="0.25">
      <c r="D330" s="3"/>
      <c r="E330" s="3"/>
    </row>
    <row r="331" spans="4:5" x14ac:dyDescent="0.25">
      <c r="D331" s="3"/>
      <c r="E331" s="3"/>
    </row>
    <row r="332" spans="4:5" x14ac:dyDescent="0.25">
      <c r="D332" s="3"/>
      <c r="E332" s="3"/>
    </row>
    <row r="333" spans="4:5" x14ac:dyDescent="0.25">
      <c r="D333" s="3"/>
      <c r="E333" s="3"/>
    </row>
    <row r="334" spans="4:5" x14ac:dyDescent="0.25">
      <c r="D334" s="3"/>
      <c r="E334" s="3"/>
    </row>
    <row r="335" spans="4:5" x14ac:dyDescent="0.25">
      <c r="D335" s="3"/>
      <c r="E335" s="3"/>
    </row>
    <row r="336" spans="4:5" x14ac:dyDescent="0.25">
      <c r="D336" s="3"/>
      <c r="E336" s="3"/>
    </row>
    <row r="337" spans="4:5" x14ac:dyDescent="0.25">
      <c r="D337" s="3"/>
      <c r="E337" s="3"/>
    </row>
    <row r="338" spans="4:5" x14ac:dyDescent="0.25">
      <c r="D338" s="3"/>
      <c r="E338" s="3"/>
    </row>
    <row r="339" spans="4:5" x14ac:dyDescent="0.25">
      <c r="D339" s="3"/>
      <c r="E339" s="3"/>
    </row>
    <row r="340" spans="4:5" x14ac:dyDescent="0.25">
      <c r="D340" s="3"/>
      <c r="E340" s="3"/>
    </row>
    <row r="341" spans="4:5" x14ac:dyDescent="0.25">
      <c r="D341" s="3"/>
      <c r="E341" s="3"/>
    </row>
    <row r="342" spans="4:5" x14ac:dyDescent="0.25">
      <c r="D342" s="3"/>
      <c r="E342" s="3"/>
    </row>
    <row r="343" spans="4:5" x14ac:dyDescent="0.25">
      <c r="D343" s="3"/>
      <c r="E343" s="3"/>
    </row>
    <row r="344" spans="4:5" x14ac:dyDescent="0.25">
      <c r="D344" s="3"/>
      <c r="E344" s="3"/>
    </row>
    <row r="345" spans="4:5" x14ac:dyDescent="0.25">
      <c r="D345" s="3"/>
      <c r="E345" s="3"/>
    </row>
    <row r="346" spans="4:5" x14ac:dyDescent="0.25">
      <c r="D346" s="3"/>
      <c r="E346" s="3"/>
    </row>
    <row r="347" spans="4:5" x14ac:dyDescent="0.25">
      <c r="D347" s="3"/>
      <c r="E347" s="3"/>
    </row>
    <row r="348" spans="4:5" x14ac:dyDescent="0.25">
      <c r="D348" s="3"/>
      <c r="E348" s="3"/>
    </row>
    <row r="349" spans="4:5" x14ac:dyDescent="0.25">
      <c r="D349" s="3"/>
      <c r="E349" s="3"/>
    </row>
    <row r="350" spans="4:5" x14ac:dyDescent="0.25">
      <c r="D350" s="3"/>
      <c r="E350" s="3"/>
    </row>
    <row r="351" spans="4:5" x14ac:dyDescent="0.25">
      <c r="D351" s="3"/>
      <c r="E351" s="3"/>
    </row>
    <row r="352" spans="4:5" x14ac:dyDescent="0.25">
      <c r="D352" s="3"/>
      <c r="E352" s="3"/>
    </row>
    <row r="353" spans="4:5" x14ac:dyDescent="0.25">
      <c r="D353" s="3"/>
      <c r="E353" s="3"/>
    </row>
    <row r="354" spans="4:5" x14ac:dyDescent="0.25">
      <c r="D354" s="3"/>
      <c r="E354" s="3"/>
    </row>
    <row r="355" spans="4:5" x14ac:dyDescent="0.25">
      <c r="D355" s="3"/>
      <c r="E355" s="3"/>
    </row>
    <row r="356" spans="4:5" x14ac:dyDescent="0.25">
      <c r="D356" s="3"/>
      <c r="E356" s="3"/>
    </row>
    <row r="357" spans="4:5" x14ac:dyDescent="0.25">
      <c r="D357" s="3"/>
      <c r="E357" s="3"/>
    </row>
    <row r="358" spans="4:5" x14ac:dyDescent="0.25">
      <c r="D358" s="3"/>
      <c r="E358" s="3"/>
    </row>
    <row r="359" spans="4:5" x14ac:dyDescent="0.25">
      <c r="D359" s="3"/>
      <c r="E359" s="3"/>
    </row>
    <row r="360" spans="4:5" x14ac:dyDescent="0.25">
      <c r="D360" s="3"/>
      <c r="E360" s="3"/>
    </row>
    <row r="361" spans="4:5" x14ac:dyDescent="0.25">
      <c r="D361" s="3"/>
      <c r="E361" s="3"/>
    </row>
    <row r="362" spans="4:5" x14ac:dyDescent="0.25">
      <c r="D362" s="3"/>
      <c r="E362" s="3"/>
    </row>
    <row r="363" spans="4:5" x14ac:dyDescent="0.25">
      <c r="D363" s="3"/>
      <c r="E363" s="3"/>
    </row>
    <row r="364" spans="4:5" x14ac:dyDescent="0.25">
      <c r="D364" s="3"/>
      <c r="E364" s="3"/>
    </row>
    <row r="365" spans="4:5" x14ac:dyDescent="0.25">
      <c r="D365" s="3"/>
      <c r="E365" s="3"/>
    </row>
    <row r="366" spans="4:5" x14ac:dyDescent="0.25">
      <c r="D366" s="3"/>
      <c r="E366" s="3"/>
    </row>
    <row r="367" spans="4:5" x14ac:dyDescent="0.25">
      <c r="D367" s="3"/>
      <c r="E367" s="3"/>
    </row>
    <row r="368" spans="4:5" x14ac:dyDescent="0.25">
      <c r="D368" s="3"/>
      <c r="E368" s="3"/>
    </row>
    <row r="369" spans="4:5" x14ac:dyDescent="0.25">
      <c r="D369" s="3"/>
      <c r="E369" s="3"/>
    </row>
    <row r="370" spans="4:5" x14ac:dyDescent="0.25">
      <c r="D370" s="3"/>
      <c r="E370" s="3"/>
    </row>
    <row r="371" spans="4:5" x14ac:dyDescent="0.25">
      <c r="D371" s="3"/>
      <c r="E371" s="3"/>
    </row>
    <row r="372" spans="4:5" x14ac:dyDescent="0.25">
      <c r="D372" s="3"/>
      <c r="E372" s="3"/>
    </row>
    <row r="373" spans="4:5" x14ac:dyDescent="0.25">
      <c r="D373" s="3"/>
      <c r="E373" s="3"/>
    </row>
    <row r="374" spans="4:5" x14ac:dyDescent="0.25">
      <c r="D374" s="3"/>
      <c r="E374" s="3"/>
    </row>
    <row r="375" spans="4:5" x14ac:dyDescent="0.25">
      <c r="D375" s="3"/>
      <c r="E375" s="3"/>
    </row>
    <row r="376" spans="4:5" x14ac:dyDescent="0.25">
      <c r="D376" s="3"/>
      <c r="E376" s="3"/>
    </row>
    <row r="377" spans="4:5" x14ac:dyDescent="0.25">
      <c r="D377" s="3"/>
      <c r="E377" s="3"/>
    </row>
    <row r="378" spans="4:5" x14ac:dyDescent="0.25">
      <c r="D378" s="3"/>
      <c r="E378" s="3"/>
    </row>
    <row r="379" spans="4:5" x14ac:dyDescent="0.25">
      <c r="D379" s="3"/>
      <c r="E379" s="3"/>
    </row>
    <row r="380" spans="4:5" x14ac:dyDescent="0.25">
      <c r="D380" s="3"/>
      <c r="E380" s="3"/>
    </row>
    <row r="381" spans="4:5" x14ac:dyDescent="0.25">
      <c r="D381" s="3"/>
      <c r="E381" s="3"/>
    </row>
    <row r="382" spans="4:5" x14ac:dyDescent="0.25">
      <c r="D382" s="3"/>
      <c r="E382" s="3"/>
    </row>
    <row r="383" spans="4:5" x14ac:dyDescent="0.25">
      <c r="D383" s="3"/>
      <c r="E383" s="3"/>
    </row>
    <row r="384" spans="4:5" x14ac:dyDescent="0.25">
      <c r="D384" s="3"/>
      <c r="E384" s="3"/>
    </row>
    <row r="385" spans="4:5" x14ac:dyDescent="0.25">
      <c r="D385" s="3"/>
      <c r="E385" s="3"/>
    </row>
    <row r="386" spans="4:5" x14ac:dyDescent="0.25">
      <c r="D386" s="3"/>
      <c r="E386" s="3"/>
    </row>
    <row r="387" spans="4:5" x14ac:dyDescent="0.25">
      <c r="D387" s="3"/>
      <c r="E387" s="3"/>
    </row>
    <row r="388" spans="4:5" x14ac:dyDescent="0.25">
      <c r="D388" s="3"/>
      <c r="E388" s="3"/>
    </row>
    <row r="389" spans="4:5" x14ac:dyDescent="0.25">
      <c r="D389" s="3"/>
      <c r="E389" s="3"/>
    </row>
    <row r="390" spans="4:5" x14ac:dyDescent="0.25">
      <c r="D390" s="3"/>
      <c r="E390" s="3"/>
    </row>
    <row r="391" spans="4:5" x14ac:dyDescent="0.25">
      <c r="D391" s="3"/>
      <c r="E391" s="3"/>
    </row>
    <row r="392" spans="4:5" x14ac:dyDescent="0.25">
      <c r="D392" s="3"/>
      <c r="E392" s="3"/>
    </row>
    <row r="393" spans="4:5" x14ac:dyDescent="0.25">
      <c r="D393" s="3"/>
      <c r="E393" s="3"/>
    </row>
    <row r="394" spans="4:5" x14ac:dyDescent="0.25">
      <c r="D394" s="3"/>
      <c r="E394" s="3"/>
    </row>
    <row r="395" spans="4:5" x14ac:dyDescent="0.25">
      <c r="D395" s="3"/>
      <c r="E395" s="3"/>
    </row>
    <row r="396" spans="4:5" x14ac:dyDescent="0.25">
      <c r="D396" s="3"/>
      <c r="E396" s="3"/>
    </row>
    <row r="397" spans="4:5" x14ac:dyDescent="0.25">
      <c r="D397" s="3"/>
      <c r="E397" s="3"/>
    </row>
    <row r="398" spans="4:5" x14ac:dyDescent="0.25">
      <c r="D398" s="3"/>
      <c r="E398" s="3"/>
    </row>
    <row r="399" spans="4:5" x14ac:dyDescent="0.25">
      <c r="D399" s="3"/>
      <c r="E399" s="3"/>
    </row>
    <row r="400" spans="4:5" x14ac:dyDescent="0.25">
      <c r="D400" s="3"/>
      <c r="E400" s="3"/>
    </row>
    <row r="401" spans="4:5" x14ac:dyDescent="0.25">
      <c r="D401" s="3"/>
      <c r="E401" s="3"/>
    </row>
    <row r="402" spans="4:5" x14ac:dyDescent="0.25">
      <c r="D402" s="3"/>
      <c r="E402" s="3"/>
    </row>
    <row r="403" spans="4:5" x14ac:dyDescent="0.25">
      <c r="D403" s="3"/>
      <c r="E403" s="3"/>
    </row>
    <row r="404" spans="4:5" x14ac:dyDescent="0.25">
      <c r="D404" s="3"/>
      <c r="E404" s="3"/>
    </row>
    <row r="405" spans="4:5" x14ac:dyDescent="0.25">
      <c r="D405" s="3"/>
      <c r="E405" s="3"/>
    </row>
    <row r="406" spans="4:5" x14ac:dyDescent="0.25">
      <c r="D406" s="3"/>
      <c r="E406" s="3"/>
    </row>
    <row r="407" spans="4:5" x14ac:dyDescent="0.25">
      <c r="D407" s="3"/>
      <c r="E407" s="3"/>
    </row>
    <row r="408" spans="4:5" x14ac:dyDescent="0.25">
      <c r="D408" s="3"/>
      <c r="E408" s="3"/>
    </row>
    <row r="409" spans="4:5" x14ac:dyDescent="0.25">
      <c r="D409" s="3"/>
      <c r="E409" s="3"/>
    </row>
    <row r="410" spans="4:5" x14ac:dyDescent="0.25">
      <c r="D410" s="3"/>
      <c r="E410" s="3"/>
    </row>
    <row r="411" spans="4:5" x14ac:dyDescent="0.25">
      <c r="D411" s="3"/>
      <c r="E411" s="3"/>
    </row>
    <row r="412" spans="4:5" x14ac:dyDescent="0.25">
      <c r="D412" s="3"/>
      <c r="E412" s="3"/>
    </row>
    <row r="413" spans="4:5" x14ac:dyDescent="0.25">
      <c r="D413" s="3"/>
      <c r="E413" s="3"/>
    </row>
    <row r="414" spans="4:5" x14ac:dyDescent="0.25">
      <c r="D414" s="3"/>
      <c r="E414" s="3"/>
    </row>
    <row r="415" spans="4:5" x14ac:dyDescent="0.25">
      <c r="D415" s="3"/>
      <c r="E415" s="3"/>
    </row>
    <row r="416" spans="4:5" x14ac:dyDescent="0.25">
      <c r="D416" s="3"/>
      <c r="E416" s="3"/>
    </row>
    <row r="417" spans="4:5" x14ac:dyDescent="0.25">
      <c r="D417" s="3"/>
      <c r="E417" s="3"/>
    </row>
    <row r="418" spans="4:5" x14ac:dyDescent="0.25">
      <c r="D418" s="3"/>
      <c r="E418" s="3"/>
    </row>
    <row r="419" spans="4:5" x14ac:dyDescent="0.25">
      <c r="D419" s="3"/>
      <c r="E419" s="3"/>
    </row>
    <row r="420" spans="4:5" x14ac:dyDescent="0.25">
      <c r="D420" s="3"/>
      <c r="E420" s="3"/>
    </row>
    <row r="421" spans="4:5" x14ac:dyDescent="0.25">
      <c r="D421" s="3"/>
      <c r="E421" s="3"/>
    </row>
    <row r="422" spans="4:5" x14ac:dyDescent="0.25">
      <c r="D422" s="3"/>
      <c r="E422" s="3"/>
    </row>
    <row r="423" spans="4:5" x14ac:dyDescent="0.25">
      <c r="D423" s="3"/>
      <c r="E423" s="3"/>
    </row>
    <row r="424" spans="4:5" x14ac:dyDescent="0.25">
      <c r="D424" s="3"/>
      <c r="E424" s="3"/>
    </row>
    <row r="425" spans="4:5" x14ac:dyDescent="0.25">
      <c r="D425" s="3"/>
      <c r="E425" s="3"/>
    </row>
    <row r="426" spans="4:5" x14ac:dyDescent="0.25">
      <c r="D426" s="3"/>
      <c r="E426" s="3"/>
    </row>
    <row r="427" spans="4:5" x14ac:dyDescent="0.25">
      <c r="D427" s="3"/>
      <c r="E427" s="3"/>
    </row>
    <row r="428" spans="4:5" x14ac:dyDescent="0.25">
      <c r="D428" s="3"/>
      <c r="E428" s="3"/>
    </row>
    <row r="429" spans="4:5" x14ac:dyDescent="0.25">
      <c r="D429" s="3"/>
      <c r="E429" s="3"/>
    </row>
    <row r="430" spans="4:5" x14ac:dyDescent="0.25">
      <c r="D430" s="3"/>
      <c r="E430" s="3"/>
    </row>
    <row r="431" spans="4:5" x14ac:dyDescent="0.25">
      <c r="D431" s="3"/>
      <c r="E431" s="3"/>
    </row>
    <row r="432" spans="4:5" x14ac:dyDescent="0.25">
      <c r="D432" s="3"/>
      <c r="E432" s="3"/>
    </row>
    <row r="433" spans="4:5" x14ac:dyDescent="0.25">
      <c r="D433" s="3"/>
      <c r="E433" s="3"/>
    </row>
    <row r="434" spans="4:5" x14ac:dyDescent="0.25">
      <c r="D434" s="3"/>
      <c r="E434" s="3"/>
    </row>
    <row r="435" spans="4:5" x14ac:dyDescent="0.25">
      <c r="D435" s="3"/>
      <c r="E435" s="3"/>
    </row>
    <row r="436" spans="4:5" x14ac:dyDescent="0.25">
      <c r="D436" s="3"/>
      <c r="E436" s="3"/>
    </row>
    <row r="437" spans="4:5" x14ac:dyDescent="0.25">
      <c r="D437" s="3"/>
      <c r="E437" s="3"/>
    </row>
    <row r="438" spans="4:5" x14ac:dyDescent="0.25">
      <c r="D438" s="3"/>
      <c r="E438" s="3"/>
    </row>
    <row r="439" spans="4:5" x14ac:dyDescent="0.25">
      <c r="D439" s="3"/>
      <c r="E439" s="3"/>
    </row>
    <row r="440" spans="4:5" x14ac:dyDescent="0.25">
      <c r="D440" s="3"/>
      <c r="E440" s="3"/>
    </row>
    <row r="441" spans="4:5" x14ac:dyDescent="0.25">
      <c r="D441" s="3"/>
      <c r="E441" s="3"/>
    </row>
    <row r="442" spans="4:5" x14ac:dyDescent="0.25">
      <c r="D442" s="3"/>
      <c r="E442" s="3"/>
    </row>
    <row r="443" spans="4:5" x14ac:dyDescent="0.25">
      <c r="D443" s="3"/>
      <c r="E443" s="3"/>
    </row>
    <row r="444" spans="4:5" x14ac:dyDescent="0.25">
      <c r="D444" s="3"/>
      <c r="E444" s="3"/>
    </row>
    <row r="445" spans="4:5" x14ac:dyDescent="0.25">
      <c r="D445" s="3"/>
      <c r="E445" s="3"/>
    </row>
    <row r="446" spans="4:5" x14ac:dyDescent="0.25">
      <c r="D446" s="3"/>
      <c r="E446" s="3"/>
    </row>
    <row r="447" spans="4:5" x14ac:dyDescent="0.25">
      <c r="D447" s="3"/>
      <c r="E447" s="3"/>
    </row>
    <row r="448" spans="4:5" x14ac:dyDescent="0.25">
      <c r="D448" s="3"/>
      <c r="E448" s="3"/>
    </row>
    <row r="449" spans="4:5" x14ac:dyDescent="0.25">
      <c r="D449" s="3"/>
      <c r="E449" s="3"/>
    </row>
    <row r="450" spans="4:5" x14ac:dyDescent="0.25">
      <c r="D450" s="3"/>
      <c r="E450" s="3"/>
    </row>
    <row r="451" spans="4:5" x14ac:dyDescent="0.25">
      <c r="D451" s="3"/>
      <c r="E451" s="3"/>
    </row>
    <row r="452" spans="4:5" x14ac:dyDescent="0.25">
      <c r="D452" s="3"/>
      <c r="E452" s="3"/>
    </row>
    <row r="453" spans="4:5" x14ac:dyDescent="0.25">
      <c r="D453" s="3"/>
      <c r="E453" s="3"/>
    </row>
    <row r="454" spans="4:5" x14ac:dyDescent="0.25">
      <c r="D454" s="3"/>
      <c r="E454" s="3"/>
    </row>
    <row r="455" spans="4:5" x14ac:dyDescent="0.25">
      <c r="D455" s="3"/>
      <c r="E455" s="3"/>
    </row>
    <row r="456" spans="4:5" x14ac:dyDescent="0.25">
      <c r="D456" s="3"/>
      <c r="E456" s="3"/>
    </row>
    <row r="457" spans="4:5" x14ac:dyDescent="0.25">
      <c r="D457" s="3"/>
      <c r="E457" s="3"/>
    </row>
    <row r="458" spans="4:5" x14ac:dyDescent="0.25">
      <c r="D458" s="3"/>
      <c r="E458" s="3"/>
    </row>
    <row r="459" spans="4:5" x14ac:dyDescent="0.25">
      <c r="D459" s="3"/>
      <c r="E459" s="3"/>
    </row>
    <row r="460" spans="4:5" x14ac:dyDescent="0.25">
      <c r="D460" s="3"/>
      <c r="E460" s="3"/>
    </row>
    <row r="461" spans="4:5" x14ac:dyDescent="0.25">
      <c r="D461" s="3"/>
      <c r="E461" s="3"/>
    </row>
    <row r="462" spans="4:5" x14ac:dyDescent="0.25">
      <c r="D462" s="3"/>
      <c r="E462" s="3"/>
    </row>
    <row r="463" spans="4:5" x14ac:dyDescent="0.25">
      <c r="D463" s="3"/>
      <c r="E463" s="3"/>
    </row>
    <row r="464" spans="4:5" x14ac:dyDescent="0.25">
      <c r="D464" s="3"/>
      <c r="E464" s="3"/>
    </row>
    <row r="465" spans="4:5" x14ac:dyDescent="0.25">
      <c r="D465" s="3"/>
      <c r="E465" s="3"/>
    </row>
    <row r="466" spans="4:5" x14ac:dyDescent="0.25">
      <c r="D466" s="3"/>
      <c r="E466" s="3"/>
    </row>
    <row r="467" spans="4:5" x14ac:dyDescent="0.25">
      <c r="D467" s="3"/>
      <c r="E467" s="3"/>
    </row>
    <row r="468" spans="4:5" x14ac:dyDescent="0.25">
      <c r="D468" s="3"/>
      <c r="E468" s="3"/>
    </row>
    <row r="469" spans="4:5" x14ac:dyDescent="0.25">
      <c r="D469" s="3"/>
      <c r="E469" s="3"/>
    </row>
    <row r="470" spans="4:5" x14ac:dyDescent="0.25">
      <c r="D470" s="3"/>
      <c r="E470" s="3"/>
    </row>
    <row r="471" spans="4:5" x14ac:dyDescent="0.25">
      <c r="D471" s="3"/>
      <c r="E471" s="3"/>
    </row>
    <row r="472" spans="4:5" x14ac:dyDescent="0.25">
      <c r="D472" s="3"/>
      <c r="E472" s="3"/>
    </row>
    <row r="473" spans="4:5" x14ac:dyDescent="0.25">
      <c r="D473" s="3"/>
      <c r="E473" s="3"/>
    </row>
    <row r="474" spans="4:5" x14ac:dyDescent="0.25">
      <c r="D474" s="3"/>
      <c r="E474" s="3"/>
    </row>
    <row r="475" spans="4:5" x14ac:dyDescent="0.25">
      <c r="D475" s="3"/>
      <c r="E475" s="3"/>
    </row>
    <row r="476" spans="4:5" x14ac:dyDescent="0.25">
      <c r="D476" s="3"/>
      <c r="E476" s="3"/>
    </row>
    <row r="477" spans="4:5" x14ac:dyDescent="0.25">
      <c r="D477" s="3"/>
      <c r="E477" s="3"/>
    </row>
    <row r="478" spans="4:5" x14ac:dyDescent="0.25">
      <c r="D478" s="3"/>
      <c r="E478" s="3"/>
    </row>
    <row r="479" spans="4:5" x14ac:dyDescent="0.25">
      <c r="D479" s="3"/>
      <c r="E479" s="3"/>
    </row>
    <row r="480" spans="4:5" x14ac:dyDescent="0.25">
      <c r="D480" s="3"/>
      <c r="E480" s="3"/>
    </row>
    <row r="481" spans="4:5" x14ac:dyDescent="0.25">
      <c r="D481" s="3"/>
      <c r="E481" s="3"/>
    </row>
    <row r="482" spans="4:5" x14ac:dyDescent="0.25">
      <c r="D482" s="3"/>
      <c r="E482" s="3"/>
    </row>
    <row r="483" spans="4:5" x14ac:dyDescent="0.25">
      <c r="D483" s="3"/>
      <c r="E483" s="3"/>
    </row>
    <row r="484" spans="4:5" x14ac:dyDescent="0.25">
      <c r="D484" s="3"/>
      <c r="E484" s="3"/>
    </row>
    <row r="485" spans="4:5" x14ac:dyDescent="0.25">
      <c r="D485" s="3"/>
      <c r="E485" s="3"/>
    </row>
    <row r="486" spans="4:5" x14ac:dyDescent="0.25">
      <c r="D486" s="3"/>
      <c r="E486" s="3"/>
    </row>
    <row r="487" spans="4:5" x14ac:dyDescent="0.25">
      <c r="D487" s="3"/>
      <c r="E487" s="3"/>
    </row>
    <row r="488" spans="4:5" x14ac:dyDescent="0.25">
      <c r="D488" s="3"/>
      <c r="E488" s="3"/>
    </row>
    <row r="489" spans="4:5" x14ac:dyDescent="0.25">
      <c r="D489" s="3"/>
      <c r="E489" s="3"/>
    </row>
    <row r="490" spans="4:5" x14ac:dyDescent="0.25">
      <c r="D490" s="3"/>
      <c r="E490" s="3"/>
    </row>
    <row r="491" spans="4:5" x14ac:dyDescent="0.25">
      <c r="D491" s="3"/>
      <c r="E491" s="3"/>
    </row>
    <row r="492" spans="4:5" x14ac:dyDescent="0.25">
      <c r="D492" s="3"/>
      <c r="E492" s="3"/>
    </row>
    <row r="493" spans="4:5" x14ac:dyDescent="0.25">
      <c r="D493" s="3"/>
      <c r="E493" s="3"/>
    </row>
    <row r="494" spans="4:5" x14ac:dyDescent="0.25">
      <c r="D494" s="3"/>
      <c r="E494" s="3"/>
    </row>
    <row r="495" spans="4:5" x14ac:dyDescent="0.25">
      <c r="D495" s="3"/>
      <c r="E495" s="3"/>
    </row>
    <row r="496" spans="4:5" x14ac:dyDescent="0.25">
      <c r="D496" s="3"/>
      <c r="E496" s="3"/>
    </row>
    <row r="497" spans="4:5" x14ac:dyDescent="0.25">
      <c r="D497" s="3"/>
      <c r="E497" s="3"/>
    </row>
    <row r="498" spans="4:5" x14ac:dyDescent="0.25">
      <c r="D498" s="3"/>
      <c r="E498" s="3"/>
    </row>
    <row r="499" spans="4:5" x14ac:dyDescent="0.25">
      <c r="D499" s="3"/>
      <c r="E499" s="3"/>
    </row>
    <row r="500" spans="4:5" x14ac:dyDescent="0.25">
      <c r="D500" s="3"/>
      <c r="E500" s="3"/>
    </row>
    <row r="501" spans="4:5" x14ac:dyDescent="0.25">
      <c r="D501" s="3"/>
      <c r="E501" s="3"/>
    </row>
    <row r="502" spans="4:5" x14ac:dyDescent="0.25">
      <c r="D502" s="3"/>
      <c r="E502" s="3"/>
    </row>
    <row r="503" spans="4:5" x14ac:dyDescent="0.25">
      <c r="D503" s="3"/>
      <c r="E503" s="3"/>
    </row>
    <row r="504" spans="4:5" x14ac:dyDescent="0.25">
      <c r="D504" s="3"/>
      <c r="E504" s="3"/>
    </row>
    <row r="505" spans="4:5" x14ac:dyDescent="0.25">
      <c r="D505" s="3"/>
      <c r="E505" s="3"/>
    </row>
    <row r="506" spans="4:5" x14ac:dyDescent="0.25">
      <c r="D506" s="3"/>
      <c r="E506" s="3"/>
    </row>
    <row r="507" spans="4:5" x14ac:dyDescent="0.25">
      <c r="D507" s="3"/>
      <c r="E507" s="3"/>
    </row>
    <row r="508" spans="4:5" x14ac:dyDescent="0.25">
      <c r="D508" s="3"/>
      <c r="E508" s="3"/>
    </row>
    <row r="509" spans="4:5" x14ac:dyDescent="0.25">
      <c r="D509" s="3"/>
      <c r="E509" s="3"/>
    </row>
    <row r="510" spans="4:5" x14ac:dyDescent="0.25">
      <c r="D510" s="3"/>
      <c r="E510" s="3"/>
    </row>
  </sheetData>
  <phoneticPr fontId="3" type="noConversion"/>
  <pageMargins left="0.7" right="0.7" top="0.49" bottom="0.25" header="0.3" footer="0.3"/>
  <pageSetup paperSize="8" orientation="portrait" r:id="rId1"/>
  <ignoredErrors>
    <ignoredError sqref="D26 D29 D32 D35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Likviditet</vt:lpstr>
      <vt:lpstr>Ark1</vt:lpstr>
      <vt:lpstr>Grundark</vt:lpstr>
    </vt:vector>
  </TitlesOfParts>
  <Company>Furesoe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Normann Johansson</dc:creator>
  <cp:lastModifiedBy>Amalie Kjær Steffensen</cp:lastModifiedBy>
  <cp:lastPrinted>2023-01-17T07:48:31Z</cp:lastPrinted>
  <dcterms:created xsi:type="dcterms:W3CDTF">2023-01-09T09:05:49Z</dcterms:created>
  <dcterms:modified xsi:type="dcterms:W3CDTF">2024-11-20T14:35:57Z</dcterms:modified>
</cp:coreProperties>
</file>